
<file path=[Content_Types].xml><?xml version="1.0" encoding="utf-8"?>
<Types xmlns="http://schemas.openxmlformats.org/package/2006/content-types">
  <Override PartName="/xl/tables/table4.xml" ContentType="application/vnd.openxmlformats-officedocument.spreadsheetml.table+xml"/>
  <Override PartName="/xl/tables/table25.xml" ContentType="application/vnd.openxmlformats-officedocument.spreadsheetml.table+xml"/>
  <Override PartName="/xl/tables/table43.xml" ContentType="application/vnd.openxmlformats-officedocument.spreadsheetml.table+xml"/>
  <Override PartName="/xl/tables/table54.xml" ContentType="application/vnd.openxmlformats-officedocument.spreadsheetml.table+xml"/>
  <Override PartName="/xl/tables/table72.xml" ContentType="application/vnd.openxmlformats-officedocument.spreadsheetml.table+xml"/>
  <Override PartName="/xl/tables/table90.xml" ContentType="application/vnd.openxmlformats-officedocument.spreadsheetml.table+xml"/>
  <Override PartName="/xl/tables/table101.xml" ContentType="application/vnd.openxmlformats-officedocument.spreadsheetml.table+xml"/>
  <Override PartName="/xl/tables/table130.xml" ContentType="application/vnd.openxmlformats-officedocument.spreadsheetml.table+xml"/>
  <Override PartName="/xl/styles.xml" ContentType="application/vnd.openxmlformats-officedocument.spreadsheetml.styles+xml"/>
  <Override PartName="/xl/tables/table14.xml" ContentType="application/vnd.openxmlformats-officedocument.spreadsheetml.table+xml"/>
  <Override PartName="/xl/tables/table32.xml" ContentType="application/vnd.openxmlformats-officedocument.spreadsheetml.table+xml"/>
  <Override PartName="/xl/tables/table61.xml" ContentType="application/vnd.openxmlformats-officedocument.spreadsheetml.table+xml"/>
  <Override PartName="/xl/tables/table21.xml" ContentType="application/vnd.openxmlformats-officedocument.spreadsheetml.table+xml"/>
  <Override PartName="/xl/tables/table50.xml" ContentType="application/vnd.openxmlformats-officedocument.spreadsheetml.table+xml"/>
  <Default Extension="xml" ContentType="application/xml"/>
  <Override PartName="/xl/tables/table10.xml" ContentType="application/vnd.openxmlformats-officedocument.spreadsheetml.table+xml"/>
  <Override PartName="/xl/tables/table139.xml" ContentType="application/vnd.openxmlformats-officedocument.spreadsheetml.table+xml"/>
  <Override PartName="/xl/worksheets/sheet3.xml" ContentType="application/vnd.openxmlformats-officedocument.spreadsheetml.worksheet+xml"/>
  <Override PartName="/xl/tables/table99.xml" ContentType="application/vnd.openxmlformats-officedocument.spreadsheetml.table+xml"/>
  <Override PartName="/xl/tables/table128.xml" ContentType="application/vnd.openxmlformats-officedocument.spreadsheetml.table+xml"/>
  <Override PartName="/xl/externalLinks/externalLink1.xml" ContentType="application/vnd.openxmlformats-officedocument.spreadsheetml.externalLink+xml"/>
  <Override PartName="/xl/tables/table9.xml" ContentType="application/vnd.openxmlformats-officedocument.spreadsheetml.table+xml"/>
  <Override PartName="/xl/tables/table59.xml" ContentType="application/vnd.openxmlformats-officedocument.spreadsheetml.table+xml"/>
  <Override PartName="/xl/tables/table88.xml" ContentType="application/vnd.openxmlformats-officedocument.spreadsheetml.table+xml"/>
  <Override PartName="/xl/tables/table117.xml" ContentType="application/vnd.openxmlformats-officedocument.spreadsheetml.table+xml"/>
  <Override PartName="/xl/tables/table135.xml" ContentType="application/vnd.openxmlformats-officedocument.spreadsheetml.table+xml"/>
  <Override PartName="/xl/tables/table146.xml" ContentType="application/vnd.openxmlformats-officedocument.spreadsheetml.table+xml"/>
  <Override PartName="/xl/sharedStrings.xml" ContentType="application/vnd.openxmlformats-officedocument.spreadsheetml.sharedStrings+xml"/>
  <Override PartName="/xl/tables/table19.xml" ContentType="application/vnd.openxmlformats-officedocument.spreadsheetml.table+xml"/>
  <Override PartName="/xl/tables/table48.xml" ContentType="application/vnd.openxmlformats-officedocument.spreadsheetml.table+xml"/>
  <Override PartName="/xl/tables/table66.xml" ContentType="application/vnd.openxmlformats-officedocument.spreadsheetml.table+xml"/>
  <Override PartName="/xl/tables/table77.xml" ContentType="application/vnd.openxmlformats-officedocument.spreadsheetml.table+xml"/>
  <Override PartName="/xl/tables/table95.xml" ContentType="application/vnd.openxmlformats-officedocument.spreadsheetml.table+xml"/>
  <Override PartName="/xl/tables/table106.xml" ContentType="application/vnd.openxmlformats-officedocument.spreadsheetml.table+xml"/>
  <Override PartName="/xl/tables/table124.xml" ContentType="application/vnd.openxmlformats-officedocument.spreadsheetml.table+xml"/>
  <Override PartName="/xl/tables/table153.xml" ContentType="application/vnd.openxmlformats-officedocument.spreadsheetml.table+xml"/>
  <Override PartName="/xl/tables/table5.xml" ContentType="application/vnd.openxmlformats-officedocument.spreadsheetml.table+xml"/>
  <Override PartName="/xl/tables/table26.xml" ContentType="application/vnd.openxmlformats-officedocument.spreadsheetml.table+xml"/>
  <Override PartName="/xl/tables/table37.xml" ContentType="application/vnd.openxmlformats-officedocument.spreadsheetml.table+xml"/>
  <Override PartName="/xl/tables/table55.xml" ContentType="application/vnd.openxmlformats-officedocument.spreadsheetml.table+xml"/>
  <Override PartName="/xl/tables/table73.xml" ContentType="application/vnd.openxmlformats-officedocument.spreadsheetml.table+xml"/>
  <Override PartName="/xl/tables/table84.xml" ContentType="application/vnd.openxmlformats-officedocument.spreadsheetml.table+xml"/>
  <Override PartName="/xl/tables/table113.xml" ContentType="application/vnd.openxmlformats-officedocument.spreadsheetml.table+xml"/>
  <Override PartName="/xl/tables/table131.xml" ContentType="application/vnd.openxmlformats-officedocument.spreadsheetml.table+xml"/>
  <Override PartName="/xl/tables/table142.xml" ContentType="application/vnd.openxmlformats-officedocument.spreadsheetml.table+xml"/>
  <Override PartName="/xl/tables/table15.xml" ContentType="application/vnd.openxmlformats-officedocument.spreadsheetml.table+xml"/>
  <Override PartName="/xl/tables/table44.xml" ContentType="application/vnd.openxmlformats-officedocument.spreadsheetml.table+xml"/>
  <Override PartName="/xl/tables/table62.xml" ContentType="application/vnd.openxmlformats-officedocument.spreadsheetml.table+xml"/>
  <Override PartName="/xl/tables/table91.xml" ContentType="application/vnd.openxmlformats-officedocument.spreadsheetml.table+xml"/>
  <Override PartName="/xl/tables/table102.xml" ContentType="application/vnd.openxmlformats-officedocument.spreadsheetml.table+xml"/>
  <Override PartName="/xl/tables/table120.xml" ContentType="application/vnd.openxmlformats-officedocument.spreadsheetml.table+xml"/>
  <Default Extension="png" ContentType="image/png"/>
  <Override PartName="/xl/tables/table1.xml" ContentType="application/vnd.openxmlformats-officedocument.spreadsheetml.table+xml"/>
  <Override PartName="/xl/tables/table22.xml" ContentType="application/vnd.openxmlformats-officedocument.spreadsheetml.table+xml"/>
  <Override PartName="/xl/tables/table33.xml" ContentType="application/vnd.openxmlformats-officedocument.spreadsheetml.table+xml"/>
  <Override PartName="/xl/tables/table51.xml" ContentType="application/vnd.openxmlformats-officedocument.spreadsheetml.table+xml"/>
  <Override PartName="/xl/tables/table80.xml" ContentType="application/vnd.openxmlformats-officedocument.spreadsheetml.table+xml"/>
  <Override PartName="/xl/tables/table11.xml" ContentType="application/vnd.openxmlformats-officedocument.spreadsheetml.table+xml"/>
  <Override PartName="/xl/tables/table40.xml" ContentType="application/vnd.openxmlformats-officedocument.spreadsheetml.table+xml"/>
  <Override PartName="/xl/workbook.xml" ContentType="application/vnd.openxmlformats-officedocument.spreadsheetml.sheet.main+xml"/>
  <Override PartName="/docProps/app.xml" ContentType="application/vnd.openxmlformats-officedocument.extended-properties+xml"/>
  <Override PartName="/xl/tables/table89.xml" ContentType="application/vnd.openxmlformats-officedocument.spreadsheetml.table+xml"/>
  <Override PartName="/xl/tables/table129.xml" ContentType="application/vnd.openxmlformats-officedocument.spreadsheetml.table+xml"/>
  <Override PartName="/xl/tables/table147.xml" ContentType="application/vnd.openxmlformats-officedocument.spreadsheetml.table+xml"/>
  <Default Extension="vml" ContentType="application/vnd.openxmlformats-officedocument.vmlDrawing"/>
  <Override PartName="/xl/tables/table49.xml" ContentType="application/vnd.openxmlformats-officedocument.spreadsheetml.table+xml"/>
  <Override PartName="/xl/tables/table69.xml" ContentType="application/vnd.openxmlformats-officedocument.spreadsheetml.table+xml"/>
  <Override PartName="/xl/tables/table78.xml" ContentType="application/vnd.openxmlformats-officedocument.spreadsheetml.table+xml"/>
  <Override PartName="/xl/tables/table87.xml" ContentType="application/vnd.openxmlformats-officedocument.spreadsheetml.table+xml"/>
  <Override PartName="/xl/tables/table96.xml" ContentType="application/vnd.openxmlformats-officedocument.spreadsheetml.table+xml"/>
  <Override PartName="/xl/tables/table98.xml" ContentType="application/vnd.openxmlformats-officedocument.spreadsheetml.table+xml"/>
  <Override PartName="/xl/tables/table107.xml" ContentType="application/vnd.openxmlformats-officedocument.spreadsheetml.table+xml"/>
  <Override PartName="/xl/tables/table116.xml" ContentType="application/vnd.openxmlformats-officedocument.spreadsheetml.table+xml"/>
  <Override PartName="/xl/tables/table118.xml" ContentType="application/vnd.openxmlformats-officedocument.spreadsheetml.table+xml"/>
  <Override PartName="/xl/tables/table127.xml" ContentType="application/vnd.openxmlformats-officedocument.spreadsheetml.table+xml"/>
  <Override PartName="/xl/tables/table136.xml" ContentType="application/vnd.openxmlformats-officedocument.spreadsheetml.table+xml"/>
  <Override PartName="/xl/tables/table145.xml" ContentType="application/vnd.openxmlformats-officedocument.spreadsheetml.table+xml"/>
  <Override PartName="/xl/tables/table15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xl/tables/table8.xml" ContentType="application/vnd.openxmlformats-officedocument.spreadsheetml.table+xml"/>
  <Override PartName="/xl/tables/table29.xml" ContentType="application/vnd.openxmlformats-officedocument.spreadsheetml.table+xml"/>
  <Override PartName="/xl/tables/table38.xml" ContentType="application/vnd.openxmlformats-officedocument.spreadsheetml.table+xml"/>
  <Override PartName="/xl/tables/table47.xml" ContentType="application/vnd.openxmlformats-officedocument.spreadsheetml.table+xml"/>
  <Override PartName="/xl/tables/table58.xml" ContentType="application/vnd.openxmlformats-officedocument.spreadsheetml.table+xml"/>
  <Override PartName="/xl/tables/table67.xml" ContentType="application/vnd.openxmlformats-officedocument.spreadsheetml.table+xml"/>
  <Override PartName="/xl/tables/table76.xml" ContentType="application/vnd.openxmlformats-officedocument.spreadsheetml.table+xml"/>
  <Override PartName="/xl/tables/table85.xml" ContentType="application/vnd.openxmlformats-officedocument.spreadsheetml.table+xml"/>
  <Override PartName="/xl/tables/table94.xml" ContentType="application/vnd.openxmlformats-officedocument.spreadsheetml.table+xml"/>
  <Override PartName="/xl/tables/table105.xml" ContentType="application/vnd.openxmlformats-officedocument.spreadsheetml.table+xml"/>
  <Override PartName="/xl/tables/table114.xml" ContentType="application/vnd.openxmlformats-officedocument.spreadsheetml.table+xml"/>
  <Override PartName="/xl/tables/table125.xml" ContentType="application/vnd.openxmlformats-officedocument.spreadsheetml.table+xml"/>
  <Override PartName="/xl/tables/table134.xml" ContentType="application/vnd.openxmlformats-officedocument.spreadsheetml.table+xml"/>
  <Override PartName="/xl/tables/table143.xml" ContentType="application/vnd.openxmlformats-officedocument.spreadsheetml.table+xml"/>
  <Override PartName="/xl/tables/table152.xml" ContentType="application/vnd.openxmlformats-officedocument.spreadsheetml.table+xml"/>
  <Override PartName="/xl/tables/table6.xml" ContentType="application/vnd.openxmlformats-officedocument.spreadsheetml.table+xml"/>
  <Override PartName="/xl/tables/table18.xml" ContentType="application/vnd.openxmlformats-officedocument.spreadsheetml.table+xml"/>
  <Override PartName="/xl/tables/table27.xml" ContentType="application/vnd.openxmlformats-officedocument.spreadsheetml.table+xml"/>
  <Override PartName="/xl/tables/table36.xml" ContentType="application/vnd.openxmlformats-officedocument.spreadsheetml.table+xml"/>
  <Override PartName="/xl/tables/table45.xml" ContentType="application/vnd.openxmlformats-officedocument.spreadsheetml.table+xml"/>
  <Override PartName="/xl/tables/table56.xml" ContentType="application/vnd.openxmlformats-officedocument.spreadsheetml.table+xml"/>
  <Override PartName="/xl/tables/table6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92.xml" ContentType="application/vnd.openxmlformats-officedocument.spreadsheetml.table+xml"/>
  <Override PartName="/xl/tables/table103.xml" ContentType="application/vnd.openxmlformats-officedocument.spreadsheetml.table+xml"/>
  <Override PartName="/xl/tables/table112.xml" ContentType="application/vnd.openxmlformats-officedocument.spreadsheetml.table+xml"/>
  <Override PartName="/xl/tables/table123.xml" ContentType="application/vnd.openxmlformats-officedocument.spreadsheetml.table+xml"/>
  <Override PartName="/xl/tables/table132.xml" ContentType="application/vnd.openxmlformats-officedocument.spreadsheetml.table+xml"/>
  <Override PartName="/xl/tables/table141.xml" ContentType="application/vnd.openxmlformats-officedocument.spreadsheetml.table+xml"/>
  <Override PartName="/xl/tables/table150.xml" ContentType="application/vnd.openxmlformats-officedocument.spreadsheetml.table+xml"/>
  <Override PartName="/docProps/core.xml" ContentType="application/vnd.openxmlformats-package.core-properties+xml"/>
  <Override PartName="/xl/tables/table16.xml" ContentType="application/vnd.openxmlformats-officedocument.spreadsheetml.table+xml"/>
  <Override PartName="/xl/tables/table34.xml" ContentType="application/vnd.openxmlformats-officedocument.spreadsheetml.table+xml"/>
  <Override PartName="/xl/tables/table63.xml" ContentType="application/vnd.openxmlformats-officedocument.spreadsheetml.table+xml"/>
  <Override PartName="/xl/tables/table81.xml" ContentType="application/vnd.openxmlformats-officedocument.spreadsheetml.table+xml"/>
  <Override PartName="/xl/tables/table110.xml" ContentType="application/vnd.openxmlformats-officedocument.spreadsheetml.table+xml"/>
  <Override PartName="/xl/tables/table121.xml" ContentType="application/vnd.openxmlformats-officedocument.spreadsheetml.table+xml"/>
  <Override PartName="/xl/theme/theme1.xml" ContentType="application/vnd.openxmlformats-officedocument.theme+xml"/>
  <Override PartName="/xl/tables/table2.xml" ContentType="application/vnd.openxmlformats-officedocument.spreadsheetml.table+xml"/>
  <Override PartName="/xl/tables/table23.xml" ContentType="application/vnd.openxmlformats-officedocument.spreadsheetml.table+xml"/>
  <Override PartName="/xl/tables/table41.xml" ContentType="application/vnd.openxmlformats-officedocument.spreadsheetml.table+xml"/>
  <Override PartName="/xl/tables/table52.xml" ContentType="application/vnd.openxmlformats-officedocument.spreadsheetml.table+xml"/>
  <Override PartName="/xl/tables/table70.xml" ContentType="application/vnd.openxmlformats-officedocument.spreadsheetml.table+xml"/>
  <Override PartName="/xl/tables/table12.xml" ContentType="application/vnd.openxmlformats-officedocument.spreadsheetml.table+xml"/>
  <Override PartName="/xl/tables/table30.xml" ContentType="application/vnd.openxmlformats-officedocument.spreadsheetml.table+xml"/>
  <Default Extension="rels" ContentType="application/vnd.openxmlformats-package.relationships+xml"/>
  <Override PartName="/xl/tables/table119.xml" ContentType="application/vnd.openxmlformats-officedocument.spreadsheetml.table+xml"/>
  <Override PartName="/xl/tables/table137.xml" ContentType="application/vnd.openxmlformats-officedocument.spreadsheetml.table+xml"/>
  <Override PartName="/xl/tables/table148.xml" ContentType="application/vnd.openxmlformats-officedocument.spreadsheetml.table+xml"/>
  <Override PartName="/xl/worksheets/sheet1.xml" ContentType="application/vnd.openxmlformats-officedocument.spreadsheetml.worksheet+xml"/>
  <Override PartName="/xl/tables/table68.xml" ContentType="application/vnd.openxmlformats-officedocument.spreadsheetml.table+xml"/>
  <Override PartName="/xl/tables/table79.xml" ContentType="application/vnd.openxmlformats-officedocument.spreadsheetml.table+xml"/>
  <Override PartName="/xl/tables/table97.xml" ContentType="application/vnd.openxmlformats-officedocument.spreadsheetml.table+xml"/>
  <Override PartName="/xl/tables/table108.xml" ContentType="application/vnd.openxmlformats-officedocument.spreadsheetml.table+xml"/>
  <Override PartName="/xl/tables/table126.xml" ContentType="application/vnd.openxmlformats-officedocument.spreadsheetml.table+xml"/>
  <Override PartName="/xl/tables/table155.xml" ContentType="application/vnd.openxmlformats-officedocument.spreadsheetml.table+xml"/>
  <Override PartName="/xl/tables/table7.xml" ContentType="application/vnd.openxmlformats-officedocument.spreadsheetml.table+xml"/>
  <Override PartName="/xl/tables/table39.xml" ContentType="application/vnd.openxmlformats-officedocument.spreadsheetml.table+xml"/>
  <Override PartName="/xl/tables/table57.xml" ContentType="application/vnd.openxmlformats-officedocument.spreadsheetml.table+xml"/>
  <Override PartName="/xl/tables/table86.xml" ContentType="application/vnd.openxmlformats-officedocument.spreadsheetml.table+xml"/>
  <Override PartName="/xl/tables/table115.xml" ContentType="application/vnd.openxmlformats-officedocument.spreadsheetml.table+xml"/>
  <Override PartName="/xl/tables/table133.xml" ContentType="application/vnd.openxmlformats-officedocument.spreadsheetml.table+xml"/>
  <Override PartName="/xl/tables/table144.xml" ContentType="application/vnd.openxmlformats-officedocument.spreadsheetml.table+xml"/>
  <Override PartName="/xl/tables/table17.xml" ContentType="application/vnd.openxmlformats-officedocument.spreadsheetml.table+xml"/>
  <Override PartName="/xl/tables/table28.xml" ContentType="application/vnd.openxmlformats-officedocument.spreadsheetml.table+xml"/>
  <Override PartName="/xl/tables/table46.xml" ContentType="application/vnd.openxmlformats-officedocument.spreadsheetml.table+xml"/>
  <Override PartName="/xl/tables/table64.xml" ContentType="application/vnd.openxmlformats-officedocument.spreadsheetml.table+xml"/>
  <Override PartName="/xl/tables/table75.xml" ContentType="application/vnd.openxmlformats-officedocument.spreadsheetml.table+xml"/>
  <Override PartName="/xl/tables/table93.xml" ContentType="application/vnd.openxmlformats-officedocument.spreadsheetml.table+xml"/>
  <Override PartName="/xl/tables/table104.xml" ContentType="application/vnd.openxmlformats-officedocument.spreadsheetml.table+xml"/>
  <Override PartName="/xl/tables/table122.xml" ContentType="application/vnd.openxmlformats-officedocument.spreadsheetml.table+xml"/>
  <Override PartName="/xl/tables/table140.xml" ContentType="application/vnd.openxmlformats-officedocument.spreadsheetml.table+xml"/>
  <Override PartName="/xl/tables/table151.xml" ContentType="application/vnd.openxmlformats-officedocument.spreadsheetml.table+xml"/>
  <Override PartName="/xl/tables/table3.xml" ContentType="application/vnd.openxmlformats-officedocument.spreadsheetml.table+xml"/>
  <Override PartName="/xl/tables/table24.xml" ContentType="application/vnd.openxmlformats-officedocument.spreadsheetml.table+xml"/>
  <Override PartName="/xl/tables/table35.xml" ContentType="application/vnd.openxmlformats-officedocument.spreadsheetml.table+xml"/>
  <Override PartName="/xl/tables/table53.xml" ContentType="application/vnd.openxmlformats-officedocument.spreadsheetml.table+xml"/>
  <Override PartName="/xl/tables/table71.xml" ContentType="application/vnd.openxmlformats-officedocument.spreadsheetml.table+xml"/>
  <Override PartName="/xl/tables/table82.xml" ContentType="application/vnd.openxmlformats-officedocument.spreadsheetml.table+xml"/>
  <Override PartName="/xl/tables/table111.xml" ContentType="application/vnd.openxmlformats-officedocument.spreadsheetml.table+xml"/>
  <Override PartName="/xl/tables/table13.xml" ContentType="application/vnd.openxmlformats-officedocument.spreadsheetml.table+xml"/>
  <Override PartName="/xl/tables/table42.xml" ContentType="application/vnd.openxmlformats-officedocument.spreadsheetml.table+xml"/>
  <Override PartName="/xl/tables/table60.xml" ContentType="application/vnd.openxmlformats-officedocument.spreadsheetml.table+xml"/>
  <Override PartName="/xl/tables/table100.xml" ContentType="application/vnd.openxmlformats-officedocument.spreadsheetml.table+xml"/>
  <Override PartName="/xl/tables/table20.xml" ContentType="application/vnd.openxmlformats-officedocument.spreadsheetml.table+xml"/>
  <Override PartName="/xl/tables/table31.xml" ContentType="application/vnd.openxmlformats-officedocument.spreadsheetml.table+xml"/>
  <Override PartName="/xl/tables/table149.xml" ContentType="application/vnd.openxmlformats-officedocument.spreadsheetml.table+xml"/>
  <Override PartName="/xl/worksheets/sheet2.xml" ContentType="application/vnd.openxmlformats-officedocument.spreadsheetml.worksheet+xml"/>
  <Override PartName="/xl/drawings/drawing1.xml" ContentType="application/vnd.openxmlformats-officedocument.drawing+xml"/>
  <Override PartName="/xl/tables/table109.xml" ContentType="application/vnd.openxmlformats-officedocument.spreadsheetml.table+xml"/>
  <Override PartName="/xl/tables/table138.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8915" windowHeight="11070"/>
  </bookViews>
  <sheets>
    <sheet name="Hoja1" sheetId="1" r:id="rId1"/>
    <sheet name="Hoja2" sheetId="2" r:id="rId2"/>
    <sheet name="Hoja3" sheetId="3" r:id="rId3"/>
  </sheets>
  <externalReferences>
    <externalReference r:id="rId4"/>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25725"/>
</workbook>
</file>

<file path=xl/calcChain.xml><?xml version="1.0" encoding="utf-8"?>
<calcChain xmlns="http://schemas.openxmlformats.org/spreadsheetml/2006/main">
  <c r="F1937" i="1"/>
  <c r="B1937"/>
  <c r="F1938" l="1"/>
  <c r="C1934"/>
  <c r="C1932"/>
  <c r="F1926"/>
  <c r="B1926"/>
  <c r="F1927" l="1"/>
  <c r="C1923"/>
  <c r="C1921"/>
  <c r="F1915"/>
  <c r="B1915"/>
  <c r="F1916" l="1"/>
  <c r="C1912"/>
  <c r="C1910"/>
  <c r="F1904"/>
  <c r="B1904"/>
  <c r="F1905" l="1"/>
  <c r="C1901"/>
  <c r="C1899"/>
  <c r="F1893"/>
  <c r="B1893"/>
  <c r="F1894" l="1"/>
  <c r="C1890"/>
  <c r="C1888"/>
  <c r="F1882"/>
  <c r="B1882"/>
  <c r="F1883" l="1"/>
  <c r="C1879"/>
  <c r="C1877"/>
  <c r="F1871"/>
  <c r="B1871"/>
  <c r="F1872" l="1"/>
  <c r="C1868"/>
  <c r="C1866"/>
  <c r="F1860"/>
  <c r="B1860"/>
  <c r="F1861" l="1"/>
  <c r="C1857"/>
  <c r="C1855"/>
  <c r="F1849"/>
  <c r="B1849"/>
  <c r="F1850" l="1"/>
  <c r="C1846"/>
  <c r="C1844"/>
  <c r="F1838"/>
  <c r="B1838"/>
  <c r="F1839" l="1"/>
  <c r="C1835"/>
  <c r="C1833"/>
  <c r="F1827"/>
  <c r="B1827"/>
  <c r="F1828" l="1"/>
  <c r="C1824"/>
  <c r="C1822"/>
  <c r="F1816"/>
  <c r="B1816"/>
  <c r="F1817" l="1"/>
  <c r="C1813"/>
  <c r="C1811"/>
  <c r="F1805"/>
  <c r="B1805"/>
  <c r="F1806" l="1"/>
  <c r="C1802"/>
  <c r="C1800"/>
  <c r="F1794"/>
  <c r="B1794"/>
  <c r="F1795" l="1"/>
  <c r="C1791"/>
  <c r="C1789"/>
  <c r="F1783"/>
  <c r="B1783"/>
  <c r="F1784" l="1"/>
  <c r="C1780"/>
  <c r="C1778"/>
  <c r="F1772"/>
  <c r="B1772"/>
  <c r="F1773" l="1"/>
  <c r="C1769"/>
  <c r="C1767"/>
  <c r="F1761"/>
  <c r="B1761"/>
  <c r="F1762" l="1"/>
  <c r="C1758"/>
  <c r="C1756"/>
  <c r="F1750"/>
  <c r="B1750"/>
  <c r="F1751" l="1"/>
  <c r="C1747"/>
  <c r="C1745"/>
  <c r="F1739"/>
  <c r="B1739"/>
  <c r="F1738"/>
  <c r="B1738"/>
  <c r="F1740" l="1"/>
  <c r="C1735"/>
  <c r="C1733"/>
  <c r="F1727"/>
  <c r="B1727"/>
  <c r="F1728" l="1"/>
  <c r="C1724"/>
  <c r="C1722"/>
  <c r="F1716"/>
  <c r="B1716"/>
  <c r="F1717" l="1"/>
  <c r="C1713"/>
  <c r="C1711"/>
  <c r="F1705"/>
  <c r="B1705"/>
  <c r="F1706" l="1"/>
  <c r="C1702"/>
  <c r="C1700"/>
  <c r="F1694"/>
  <c r="B1694"/>
  <c r="F1695" l="1"/>
  <c r="C1691"/>
  <c r="C1689"/>
  <c r="F1683"/>
  <c r="B1683"/>
  <c r="F1684" l="1"/>
  <c r="C1680"/>
  <c r="C1678"/>
  <c r="F1672"/>
  <c r="B1672"/>
  <c r="F1673" l="1"/>
  <c r="C1669"/>
  <c r="C1667"/>
  <c r="F1661"/>
  <c r="B1661"/>
  <c r="F1662" l="1"/>
  <c r="C1658"/>
  <c r="C1656"/>
  <c r="F1650"/>
  <c r="B1650"/>
  <c r="F1651" l="1"/>
  <c r="C1647"/>
  <c r="C1645"/>
  <c r="F1639"/>
  <c r="B1639"/>
  <c r="F1640" l="1"/>
  <c r="C1636"/>
  <c r="C1634"/>
  <c r="F1628"/>
  <c r="B1628"/>
  <c r="F1629" l="1"/>
  <c r="C1625"/>
  <c r="C1623"/>
  <c r="F1617"/>
  <c r="B1617"/>
  <c r="F1616"/>
  <c r="B1616"/>
  <c r="F1615"/>
  <c r="B1615"/>
  <c r="F1618" l="1"/>
  <c r="C1612"/>
  <c r="C1610"/>
  <c r="F1604"/>
  <c r="B1604"/>
  <c r="F1603"/>
  <c r="B1603"/>
  <c r="F1602"/>
  <c r="B1602"/>
  <c r="F1601"/>
  <c r="B1601"/>
  <c r="F1605" l="1"/>
  <c r="C1598"/>
  <c r="C1596"/>
  <c r="F1590"/>
  <c r="B1590"/>
  <c r="F1589"/>
  <c r="B1589"/>
  <c r="F1591" l="1"/>
  <c r="C1586"/>
  <c r="C1584"/>
  <c r="F1578"/>
  <c r="B1578"/>
  <c r="F1577"/>
  <c r="B1577"/>
  <c r="F1576"/>
  <c r="B1576"/>
  <c r="F1575"/>
  <c r="B1575"/>
  <c r="F1579" l="1"/>
  <c r="C1572"/>
  <c r="C1570"/>
  <c r="F1564"/>
  <c r="B1564"/>
  <c r="F1563"/>
  <c r="B1563"/>
  <c r="F1562"/>
  <c r="B1562"/>
  <c r="F1561"/>
  <c r="B1561"/>
  <c r="F1560"/>
  <c r="B1560"/>
  <c r="F1559"/>
  <c r="B1559"/>
  <c r="F1558"/>
  <c r="B1558"/>
  <c r="F1557"/>
  <c r="B1557"/>
  <c r="F1556"/>
  <c r="B1556"/>
  <c r="F1555"/>
  <c r="B1555"/>
  <c r="F1565" l="1"/>
  <c r="C1552"/>
  <c r="C1550"/>
  <c r="F1544"/>
  <c r="B1544"/>
  <c r="F1543"/>
  <c r="B1543"/>
  <c r="F1542"/>
  <c r="B1542"/>
  <c r="F1541"/>
  <c r="B1541"/>
  <c r="F1540"/>
  <c r="B1540"/>
  <c r="F1539"/>
  <c r="B1539"/>
  <c r="F1538"/>
  <c r="B1538"/>
  <c r="F1537"/>
  <c r="B1537"/>
  <c r="F1536"/>
  <c r="B1536"/>
  <c r="F1535"/>
  <c r="B1535"/>
  <c r="F1534"/>
  <c r="B1534"/>
  <c r="F1533"/>
  <c r="B1533"/>
  <c r="F1532"/>
  <c r="B1532"/>
  <c r="F1531"/>
  <c r="B1531"/>
  <c r="F1530"/>
  <c r="B1530"/>
  <c r="F1529"/>
  <c r="B1529"/>
  <c r="F1545" l="1"/>
  <c r="C1526"/>
  <c r="C1524"/>
  <c r="F1518"/>
  <c r="B1518"/>
  <c r="F1519" l="1"/>
  <c r="C1515"/>
  <c r="C1513"/>
  <c r="F1507"/>
  <c r="B1507"/>
  <c r="F1508" l="1"/>
  <c r="C1504"/>
  <c r="C1502"/>
  <c r="F1496"/>
  <c r="B1496"/>
  <c r="F1495"/>
  <c r="B1495"/>
  <c r="F1494"/>
  <c r="B1494"/>
  <c r="F1493"/>
  <c r="B1493"/>
  <c r="F1492"/>
  <c r="B1492"/>
  <c r="F1491"/>
  <c r="B1491"/>
  <c r="F1490"/>
  <c r="B1490"/>
  <c r="F1489"/>
  <c r="B1489"/>
  <c r="F1488"/>
  <c r="B1488"/>
  <c r="F1497" l="1"/>
  <c r="C1485"/>
  <c r="C1483"/>
  <c r="F1477"/>
  <c r="B1477"/>
  <c r="F1476"/>
  <c r="B1476"/>
  <c r="F1478" l="1"/>
  <c r="C1473"/>
  <c r="C1471"/>
  <c r="F1465"/>
  <c r="B1465"/>
  <c r="F1464"/>
  <c r="B1464"/>
  <c r="F1463"/>
  <c r="B1463"/>
  <c r="F1466" l="1"/>
  <c r="C1460"/>
  <c r="C1458"/>
  <c r="F1452"/>
  <c r="B1452"/>
  <c r="F1451"/>
  <c r="B1451"/>
  <c r="F1450"/>
  <c r="B1450"/>
  <c r="F1449"/>
  <c r="B1449"/>
  <c r="F1448"/>
  <c r="B1448"/>
  <c r="F1447"/>
  <c r="B1447"/>
  <c r="F1453" l="1"/>
  <c r="C1444"/>
  <c r="C1442"/>
  <c r="F1436"/>
  <c r="B1436"/>
  <c r="F1435"/>
  <c r="B1435"/>
  <c r="F1434"/>
  <c r="B1434"/>
  <c r="F1433"/>
  <c r="B1433"/>
  <c r="F1437" l="1"/>
  <c r="C1430"/>
  <c r="C1428"/>
  <c r="F1422"/>
  <c r="B1422"/>
  <c r="F1421"/>
  <c r="B1421"/>
  <c r="F1423" l="1"/>
  <c r="C1418"/>
  <c r="C1416"/>
  <c r="F1410"/>
  <c r="B1410"/>
  <c r="F1409"/>
  <c r="B1409"/>
  <c r="F1408"/>
  <c r="B1408"/>
  <c r="F1407"/>
  <c r="B1407"/>
  <c r="F1406"/>
  <c r="B1406"/>
  <c r="F1405"/>
  <c r="B1405"/>
  <c r="F1404"/>
  <c r="B1404"/>
  <c r="F1403"/>
  <c r="B1403"/>
  <c r="F1402"/>
  <c r="B1402"/>
  <c r="F1401"/>
  <c r="B1401"/>
  <c r="F1400"/>
  <c r="B1400"/>
  <c r="F1399"/>
  <c r="B1399"/>
  <c r="F1398"/>
  <c r="B1398"/>
  <c r="F1397"/>
  <c r="B1397"/>
  <c r="F1396"/>
  <c r="B1396"/>
  <c r="F1395"/>
  <c r="B1395"/>
  <c r="F1411" l="1"/>
  <c r="C1392"/>
  <c r="C1390"/>
  <c r="F1384"/>
  <c r="B1384"/>
  <c r="F1385" l="1"/>
  <c r="C1381"/>
  <c r="C1379"/>
  <c r="F1373"/>
  <c r="B1373"/>
  <c r="F1374" l="1"/>
  <c r="C1370"/>
  <c r="C1368"/>
  <c r="F1362"/>
  <c r="B1362"/>
  <c r="F1363" l="1"/>
  <c r="C1359"/>
  <c r="C1357"/>
  <c r="F1351"/>
  <c r="B1351"/>
  <c r="F1350"/>
  <c r="B1350"/>
  <c r="F1352" l="1"/>
  <c r="C1347"/>
  <c r="C1345"/>
  <c r="F1339"/>
  <c r="B1339"/>
  <c r="F1340" l="1"/>
  <c r="C1336"/>
  <c r="C1334"/>
  <c r="F1328"/>
  <c r="B1328"/>
  <c r="F1327"/>
  <c r="B1327"/>
  <c r="F1326"/>
  <c r="B1326"/>
  <c r="F1325"/>
  <c r="B1325"/>
  <c r="F1324"/>
  <c r="B1324"/>
  <c r="F1323"/>
  <c r="B1323"/>
  <c r="F1322"/>
  <c r="B1322"/>
  <c r="F1321"/>
  <c r="B1321"/>
  <c r="F1320"/>
  <c r="B1320"/>
  <c r="F1319"/>
  <c r="B1319"/>
  <c r="F1318"/>
  <c r="B1318"/>
  <c r="F1317"/>
  <c r="B1317"/>
  <c r="F1316"/>
  <c r="B1316"/>
  <c r="F1329" l="1"/>
  <c r="C1313"/>
  <c r="C1311"/>
  <c r="F1305"/>
  <c r="B1305"/>
  <c r="F1306" l="1"/>
  <c r="C1302"/>
  <c r="C1300"/>
  <c r="F1294"/>
  <c r="B1294"/>
  <c r="F1295" l="1"/>
  <c r="C1291"/>
  <c r="C1289"/>
  <c r="F1283"/>
  <c r="B1283"/>
  <c r="F1284" l="1"/>
  <c r="C1280"/>
  <c r="C1278"/>
  <c r="F1272"/>
  <c r="B1272"/>
  <c r="F1273" l="1"/>
  <c r="C1269"/>
  <c r="C1267"/>
  <c r="F1261"/>
  <c r="B1261"/>
  <c r="F1262" l="1"/>
  <c r="C1258"/>
  <c r="C1256"/>
  <c r="F1250"/>
  <c r="B1250"/>
  <c r="F1251" l="1"/>
  <c r="C1247"/>
  <c r="C1245"/>
  <c r="F1239"/>
  <c r="B1239"/>
  <c r="F1238"/>
  <c r="B1238"/>
  <c r="F1237"/>
  <c r="B1237"/>
  <c r="F1236"/>
  <c r="B1236"/>
  <c r="F1240" l="1"/>
  <c r="C1233"/>
  <c r="C1231"/>
  <c r="F1225"/>
  <c r="B1225"/>
  <c r="F1224"/>
  <c r="B1224"/>
  <c r="F1223"/>
  <c r="B1223"/>
  <c r="F1222"/>
  <c r="B1222"/>
  <c r="F1226" l="1"/>
  <c r="C1219"/>
  <c r="C1217"/>
  <c r="F1211"/>
  <c r="C1211"/>
  <c r="B1211"/>
  <c r="F1210"/>
  <c r="C1210"/>
  <c r="B1210"/>
  <c r="F1209"/>
  <c r="C1209"/>
  <c r="B1209"/>
  <c r="F1208"/>
  <c r="C1208"/>
  <c r="B1208"/>
  <c r="F1207"/>
  <c r="C1207"/>
  <c r="B1207"/>
  <c r="F1206"/>
  <c r="C1206"/>
  <c r="B1206"/>
  <c r="F1205"/>
  <c r="F1212" l="1"/>
  <c r="C1205"/>
  <c r="B1205"/>
  <c r="C1202"/>
  <c r="C1200"/>
  <c r="F1194"/>
  <c r="C1194"/>
  <c r="B1194"/>
  <c r="F1193"/>
  <c r="C1193"/>
  <c r="B1193"/>
  <c r="F1192"/>
  <c r="C1192"/>
  <c r="B1192"/>
  <c r="F1191"/>
  <c r="C1191"/>
  <c r="B1191"/>
  <c r="F1190"/>
  <c r="C1190"/>
  <c r="B1190"/>
  <c r="F1189"/>
  <c r="C1189"/>
  <c r="B1189"/>
  <c r="F1188"/>
  <c r="C1188"/>
  <c r="B1188"/>
  <c r="F1187"/>
  <c r="C1187"/>
  <c r="B1187"/>
  <c r="F1186"/>
  <c r="C1186"/>
  <c r="B1186"/>
  <c r="F1185"/>
  <c r="C1185"/>
  <c r="B1185"/>
  <c r="F1184"/>
  <c r="C1184"/>
  <c r="B1184"/>
  <c r="F1183"/>
  <c r="C1183"/>
  <c r="B1183"/>
  <c r="F1182"/>
  <c r="C1182"/>
  <c r="B1182"/>
  <c r="F1181"/>
  <c r="C1181"/>
  <c r="B1181"/>
  <c r="F1180"/>
  <c r="F1195" l="1"/>
  <c r="C1180"/>
  <c r="B1180"/>
  <c r="C1177"/>
  <c r="C1175"/>
  <c r="F1169"/>
  <c r="C1169"/>
  <c r="B1169"/>
  <c r="F1168"/>
  <c r="C1168"/>
  <c r="B1168"/>
  <c r="F1167"/>
  <c r="C1167"/>
  <c r="B1167"/>
  <c r="F1166"/>
  <c r="C1166"/>
  <c r="B1166"/>
  <c r="F1165"/>
  <c r="C1165"/>
  <c r="B1165"/>
  <c r="F1164"/>
  <c r="C1164"/>
  <c r="B1164"/>
  <c r="F1163"/>
  <c r="C1163"/>
  <c r="B1163"/>
  <c r="F1162"/>
  <c r="C1162"/>
  <c r="B1162"/>
  <c r="F1161"/>
  <c r="C1161"/>
  <c r="B1161"/>
  <c r="F1160"/>
  <c r="C1160"/>
  <c r="B1160"/>
  <c r="F1159"/>
  <c r="C1159"/>
  <c r="B1159"/>
  <c r="F1158"/>
  <c r="C1158"/>
  <c r="B1158"/>
  <c r="F1157"/>
  <c r="F1170" l="1"/>
  <c r="C1157"/>
  <c r="B1157"/>
  <c r="C1154"/>
  <c r="C1152"/>
  <c r="F1146"/>
  <c r="C1146"/>
  <c r="B1146"/>
  <c r="F1145"/>
  <c r="C1145"/>
  <c r="B1145"/>
  <c r="F1144"/>
  <c r="F1147" l="1"/>
  <c r="C1144"/>
  <c r="B1144"/>
  <c r="C1141"/>
  <c r="C1139"/>
  <c r="F1133"/>
  <c r="C1133"/>
  <c r="B1133"/>
  <c r="F1132"/>
  <c r="F1134" l="1"/>
  <c r="C1132"/>
  <c r="B1132"/>
  <c r="C1129"/>
  <c r="C1127"/>
  <c r="F1121"/>
  <c r="F1122" l="1"/>
  <c r="C1121"/>
  <c r="B1121"/>
  <c r="C1118"/>
  <c r="C1116"/>
  <c r="F1110"/>
  <c r="C1110"/>
  <c r="B1110"/>
  <c r="F1109"/>
  <c r="C1109"/>
  <c r="B1109"/>
  <c r="F1108"/>
  <c r="C1108"/>
  <c r="B1108"/>
  <c r="F1107"/>
  <c r="C1107"/>
  <c r="B1107"/>
  <c r="F1106"/>
  <c r="F1111" l="1"/>
  <c r="C1106"/>
  <c r="B1106"/>
  <c r="C1103"/>
  <c r="C1101"/>
  <c r="F1095"/>
  <c r="F1096" l="1"/>
  <c r="C1095"/>
  <c r="B1095"/>
  <c r="C1092"/>
  <c r="C1090"/>
  <c r="F1084"/>
  <c r="F1085" l="1"/>
  <c r="C1084"/>
  <c r="B1084"/>
  <c r="C1081"/>
  <c r="C1079"/>
  <c r="F1073"/>
  <c r="F1074" l="1"/>
  <c r="C1073"/>
  <c r="B1073"/>
  <c r="C1070"/>
  <c r="C1068"/>
  <c r="F1062"/>
  <c r="F1063" l="1"/>
  <c r="C1062"/>
  <c r="B1062"/>
  <c r="C1059"/>
  <c r="C1057"/>
  <c r="F1051"/>
  <c r="F1052" l="1"/>
  <c r="C1051"/>
  <c r="B1051"/>
  <c r="C1048"/>
  <c r="C1046"/>
  <c r="F1040"/>
  <c r="F1041" l="1"/>
  <c r="C1040"/>
  <c r="B1040"/>
  <c r="C1037"/>
  <c r="C1035"/>
  <c r="F1029"/>
  <c r="F1030" l="1"/>
  <c r="C1029"/>
  <c r="B1029"/>
  <c r="C1026"/>
  <c r="C1024"/>
  <c r="F1018"/>
  <c r="F1019" l="1"/>
  <c r="C1018"/>
  <c r="B1018"/>
  <c r="C1015"/>
  <c r="C1013"/>
  <c r="F1007"/>
  <c r="F1008" l="1"/>
  <c r="C1007"/>
  <c r="B1007"/>
  <c r="C1004"/>
  <c r="C1002"/>
  <c r="F996"/>
  <c r="F997" l="1"/>
  <c r="C996"/>
  <c r="B996"/>
  <c r="C993"/>
  <c r="C991"/>
  <c r="F985"/>
  <c r="F986" l="1"/>
  <c r="C985"/>
  <c r="B985"/>
  <c r="C982"/>
  <c r="C980"/>
  <c r="F974"/>
  <c r="F975" l="1"/>
  <c r="C974"/>
  <c r="B974"/>
  <c r="C971"/>
  <c r="C969"/>
  <c r="F963"/>
  <c r="F964" l="1"/>
  <c r="C963"/>
  <c r="B963"/>
  <c r="C960"/>
  <c r="C958"/>
  <c r="F952"/>
  <c r="F953" l="1"/>
  <c r="C952"/>
  <c r="B952"/>
  <c r="C949"/>
  <c r="C947"/>
  <c r="F941"/>
  <c r="F942" l="1"/>
  <c r="C941"/>
  <c r="B941"/>
  <c r="C938"/>
  <c r="C936"/>
  <c r="F930"/>
  <c r="F931" l="1"/>
  <c r="C930"/>
  <c r="B930"/>
  <c r="C927"/>
  <c r="C925"/>
  <c r="F919"/>
  <c r="F920" l="1"/>
  <c r="C919"/>
  <c r="B919"/>
  <c r="C916"/>
  <c r="C914"/>
  <c r="F908"/>
  <c r="F909" l="1"/>
  <c r="C908"/>
  <c r="B908"/>
  <c r="C905"/>
  <c r="C903"/>
  <c r="F897"/>
  <c r="F898" l="1"/>
  <c r="C897"/>
  <c r="B897"/>
  <c r="C894"/>
  <c r="C892"/>
  <c r="F886"/>
  <c r="F887" l="1"/>
  <c r="C886"/>
  <c r="B886"/>
  <c r="C883"/>
  <c r="C881"/>
  <c r="F875"/>
  <c r="F876" l="1"/>
  <c r="C875"/>
  <c r="B875"/>
  <c r="C872"/>
  <c r="C870"/>
  <c r="F864"/>
  <c r="F865" l="1"/>
  <c r="C864"/>
  <c r="B864"/>
  <c r="C861"/>
  <c r="C859"/>
  <c r="F853"/>
  <c r="F854" l="1"/>
  <c r="C853"/>
  <c r="B853"/>
  <c r="C850"/>
  <c r="C848"/>
  <c r="F842"/>
  <c r="F843" l="1"/>
  <c r="C842"/>
  <c r="B842"/>
  <c r="C839"/>
  <c r="C837"/>
  <c r="F831"/>
  <c r="F832" l="1"/>
  <c r="C831"/>
  <c r="B831"/>
  <c r="C828"/>
  <c r="C826"/>
  <c r="F820"/>
  <c r="F821" l="1"/>
  <c r="C820"/>
  <c r="B820"/>
  <c r="C817"/>
  <c r="C815"/>
  <c r="F809"/>
  <c r="F810" l="1"/>
  <c r="C809"/>
  <c r="B809"/>
  <c r="C806"/>
  <c r="C804"/>
  <c r="F798"/>
  <c r="F799" l="1"/>
  <c r="C798"/>
  <c r="B798"/>
  <c r="C795"/>
  <c r="C793"/>
  <c r="F787"/>
  <c r="F788" l="1"/>
  <c r="C787"/>
  <c r="B787"/>
  <c r="C784"/>
  <c r="C782"/>
  <c r="F776"/>
  <c r="F777" l="1"/>
  <c r="C776"/>
  <c r="B776"/>
  <c r="C773"/>
  <c r="C771"/>
  <c r="F765"/>
  <c r="F766" l="1"/>
  <c r="C765"/>
  <c r="B765"/>
  <c r="C762"/>
  <c r="C760"/>
  <c r="F754"/>
  <c r="F755" l="1"/>
  <c r="C754"/>
  <c r="B754"/>
  <c r="C751"/>
  <c r="C749"/>
  <c r="F743"/>
  <c r="F744" l="1"/>
  <c r="C743"/>
  <c r="B743"/>
  <c r="C740"/>
  <c r="C738"/>
  <c r="F732"/>
  <c r="C732"/>
  <c r="B732"/>
  <c r="F731"/>
  <c r="F733" l="1"/>
  <c r="C731"/>
  <c r="B731"/>
  <c r="C728"/>
  <c r="C726"/>
  <c r="F720"/>
  <c r="F721" l="1"/>
  <c r="C720"/>
  <c r="B720"/>
  <c r="C717"/>
  <c r="C715"/>
  <c r="F709"/>
  <c r="F710" l="1"/>
  <c r="C709"/>
  <c r="B709"/>
  <c r="C706"/>
  <c r="C704"/>
  <c r="F698"/>
  <c r="F699" l="1"/>
  <c r="C698"/>
  <c r="B698"/>
  <c r="C695"/>
  <c r="C693"/>
  <c r="F687"/>
  <c r="F688" l="1"/>
  <c r="C687"/>
  <c r="B687"/>
  <c r="C684"/>
  <c r="C682"/>
  <c r="F676"/>
  <c r="F677" l="1"/>
  <c r="C676"/>
  <c r="B676"/>
  <c r="C673"/>
  <c r="C671"/>
  <c r="F665"/>
  <c r="F666" l="1"/>
  <c r="C665"/>
  <c r="B665"/>
  <c r="C662"/>
  <c r="C660"/>
  <c r="F654"/>
  <c r="F655" l="1"/>
  <c r="C654"/>
  <c r="B654"/>
  <c r="C651"/>
  <c r="C649"/>
  <c r="F643"/>
  <c r="F644" l="1"/>
  <c r="C643"/>
  <c r="B643"/>
  <c r="C640"/>
  <c r="C638"/>
  <c r="F632"/>
  <c r="F633" l="1"/>
  <c r="C632"/>
  <c r="B632"/>
  <c r="C629"/>
  <c r="C627"/>
  <c r="F621"/>
  <c r="F622" l="1"/>
  <c r="C621"/>
  <c r="B621"/>
  <c r="C618"/>
  <c r="C616"/>
  <c r="F610"/>
  <c r="F611" l="1"/>
  <c r="C610"/>
  <c r="B610"/>
  <c r="C607"/>
  <c r="C605"/>
  <c r="F599"/>
  <c r="F600" l="1"/>
  <c r="C599"/>
  <c r="B599"/>
  <c r="C596"/>
  <c r="C594"/>
  <c r="F588"/>
  <c r="F589" l="1"/>
  <c r="C588"/>
  <c r="B588"/>
  <c r="C585"/>
  <c r="C583"/>
  <c r="F577"/>
  <c r="F578" l="1"/>
  <c r="C577"/>
  <c r="B577"/>
  <c r="C574"/>
  <c r="C572"/>
  <c r="F566"/>
  <c r="F567" l="1"/>
  <c r="C566"/>
  <c r="B566"/>
  <c r="C563"/>
  <c r="C561"/>
  <c r="F555"/>
  <c r="F556" l="1"/>
  <c r="C555"/>
  <c r="B555"/>
  <c r="C552"/>
  <c r="C550"/>
  <c r="F544"/>
  <c r="F545" l="1"/>
  <c r="C544"/>
  <c r="B544"/>
  <c r="C541"/>
  <c r="C539"/>
  <c r="F533"/>
  <c r="F534" l="1"/>
  <c r="C533"/>
  <c r="B533"/>
  <c r="C530"/>
  <c r="C528"/>
  <c r="F522"/>
  <c r="F523" l="1"/>
  <c r="C522"/>
  <c r="B522"/>
  <c r="C519"/>
  <c r="C517"/>
  <c r="F511"/>
  <c r="C511"/>
  <c r="B511"/>
  <c r="F510"/>
  <c r="C510"/>
  <c r="B510"/>
  <c r="F509"/>
  <c r="C509"/>
  <c r="B509"/>
  <c r="F508"/>
  <c r="C508"/>
  <c r="B508"/>
  <c r="F507"/>
  <c r="C507"/>
  <c r="B507"/>
  <c r="F506"/>
  <c r="F512" l="1"/>
  <c r="C506"/>
  <c r="B506"/>
  <c r="C503"/>
  <c r="C501"/>
  <c r="F495"/>
  <c r="F496" l="1"/>
  <c r="C495"/>
  <c r="B495"/>
  <c r="C492"/>
  <c r="C490"/>
  <c r="F484"/>
  <c r="F485" l="1"/>
  <c r="C484"/>
  <c r="B484"/>
  <c r="C481"/>
  <c r="C479"/>
  <c r="F473"/>
  <c r="F474" l="1"/>
  <c r="C473"/>
  <c r="B473"/>
  <c r="C470"/>
  <c r="C468"/>
  <c r="F462"/>
  <c r="F463" l="1"/>
  <c r="C462"/>
  <c r="B462"/>
  <c r="C459"/>
  <c r="C457"/>
  <c r="F451"/>
  <c r="C451"/>
  <c r="B451"/>
  <c r="F450"/>
  <c r="C450"/>
  <c r="B450"/>
  <c r="F449"/>
  <c r="F452" l="1"/>
  <c r="C449"/>
  <c r="B449"/>
  <c r="C446"/>
  <c r="C444"/>
  <c r="F438"/>
  <c r="F439" l="1"/>
  <c r="C438"/>
  <c r="B438"/>
  <c r="C435"/>
  <c r="C433"/>
  <c r="F427"/>
  <c r="C427"/>
  <c r="B427"/>
  <c r="F426"/>
  <c r="C426"/>
  <c r="B426"/>
  <c r="F425"/>
  <c r="C425"/>
  <c r="B425"/>
  <c r="F424"/>
  <c r="F428" l="1"/>
  <c r="C424"/>
  <c r="B424"/>
  <c r="C421"/>
  <c r="C419"/>
  <c r="F413"/>
  <c r="C413"/>
  <c r="B413"/>
  <c r="F412"/>
  <c r="C412"/>
  <c r="B412"/>
  <c r="F411"/>
  <c r="F414" l="1"/>
  <c r="C411"/>
  <c r="B411"/>
  <c r="C408"/>
  <c r="C406"/>
  <c r="F400"/>
  <c r="C400"/>
  <c r="B400"/>
  <c r="F399"/>
  <c r="C399"/>
  <c r="B399"/>
  <c r="F398"/>
  <c r="F401" l="1"/>
  <c r="C398"/>
  <c r="B398"/>
  <c r="C395"/>
  <c r="C393"/>
  <c r="F387"/>
  <c r="C387"/>
  <c r="B387"/>
  <c r="F386"/>
  <c r="C386"/>
  <c r="B386"/>
  <c r="F385"/>
  <c r="C385"/>
  <c r="B385"/>
  <c r="F384"/>
  <c r="F388" l="1"/>
  <c r="C384"/>
  <c r="B384"/>
  <c r="C381"/>
  <c r="C379"/>
  <c r="F373"/>
  <c r="F374" l="1"/>
  <c r="C373"/>
  <c r="B373"/>
  <c r="C370"/>
  <c r="C368"/>
  <c r="F362"/>
  <c r="F363" l="1"/>
  <c r="C362"/>
  <c r="B362"/>
  <c r="C359"/>
  <c r="C357"/>
  <c r="F351"/>
  <c r="F352" l="1"/>
  <c r="C351"/>
  <c r="B351"/>
  <c r="C348"/>
  <c r="C346"/>
  <c r="F340"/>
  <c r="F341" l="1"/>
  <c r="C340"/>
  <c r="B340"/>
  <c r="C337"/>
  <c r="C335"/>
  <c r="F329"/>
  <c r="F330" l="1"/>
  <c r="C329"/>
  <c r="B329"/>
  <c r="C326"/>
  <c r="C324"/>
  <c r="F318"/>
  <c r="C318"/>
  <c r="B318"/>
  <c r="F317"/>
  <c r="C317"/>
  <c r="B317"/>
  <c r="F316"/>
  <c r="C316"/>
  <c r="B316"/>
  <c r="F315"/>
  <c r="C315"/>
  <c r="B315"/>
  <c r="F314"/>
  <c r="C314"/>
  <c r="B314"/>
  <c r="F313"/>
  <c r="C313"/>
  <c r="B313"/>
  <c r="F312"/>
  <c r="C312"/>
  <c r="B312"/>
  <c r="F311"/>
  <c r="C311"/>
  <c r="B311"/>
  <c r="F310"/>
  <c r="C310"/>
  <c r="B310"/>
  <c r="F309"/>
  <c r="C309"/>
  <c r="B309"/>
  <c r="F308"/>
  <c r="C308"/>
  <c r="B308"/>
  <c r="F307"/>
  <c r="C307"/>
  <c r="B307"/>
  <c r="F306"/>
  <c r="C306"/>
  <c r="B306"/>
  <c r="F305"/>
  <c r="C305"/>
  <c r="B305"/>
  <c r="F304"/>
  <c r="C304"/>
  <c r="B304"/>
  <c r="F303"/>
  <c r="C303"/>
  <c r="B303"/>
  <c r="F302"/>
  <c r="C302"/>
  <c r="B302"/>
  <c r="F301"/>
  <c r="C301"/>
  <c r="B301"/>
  <c r="F300"/>
  <c r="C300"/>
  <c r="B300"/>
  <c r="F299"/>
  <c r="C299"/>
  <c r="B299"/>
  <c r="F298"/>
  <c r="C298"/>
  <c r="B298"/>
  <c r="F297"/>
  <c r="C297"/>
  <c r="B297"/>
  <c r="F296"/>
  <c r="C296"/>
  <c r="B296"/>
  <c r="F295"/>
  <c r="C295"/>
  <c r="B295"/>
  <c r="F294"/>
  <c r="C294"/>
  <c r="B294"/>
  <c r="F293"/>
  <c r="F319" l="1"/>
  <c r="C293"/>
  <c r="B293"/>
  <c r="C290"/>
  <c r="C288"/>
  <c r="F282"/>
  <c r="C282"/>
  <c r="B282"/>
  <c r="F281"/>
  <c r="C281"/>
  <c r="B281"/>
  <c r="F280"/>
  <c r="C280"/>
  <c r="B280"/>
  <c r="F279"/>
  <c r="C279"/>
  <c r="B279"/>
  <c r="F278"/>
  <c r="F283" l="1"/>
  <c r="C278"/>
  <c r="B278"/>
  <c r="C275"/>
  <c r="C273"/>
  <c r="F267"/>
  <c r="F268" l="1"/>
  <c r="C267"/>
  <c r="B267"/>
  <c r="C264"/>
  <c r="C262"/>
  <c r="F256"/>
  <c r="F257" l="1"/>
  <c r="C256"/>
  <c r="B256"/>
  <c r="C253"/>
  <c r="C251"/>
  <c r="F245"/>
  <c r="F246" l="1"/>
  <c r="C245"/>
  <c r="B245"/>
  <c r="C242"/>
  <c r="C240"/>
  <c r="F234"/>
  <c r="F235" l="1"/>
  <c r="C234"/>
  <c r="B234"/>
  <c r="C231"/>
  <c r="C229"/>
  <c r="F223"/>
  <c r="F224" l="1"/>
  <c r="C223"/>
  <c r="B223"/>
  <c r="C220"/>
  <c r="C218"/>
  <c r="F212"/>
  <c r="F213" l="1"/>
  <c r="C212"/>
  <c r="B212"/>
  <c r="C209"/>
  <c r="C207"/>
  <c r="F201"/>
  <c r="F202" l="1"/>
  <c r="C201"/>
  <c r="B201"/>
  <c r="C198"/>
  <c r="C196"/>
  <c r="F190"/>
  <c r="F191" l="1"/>
  <c r="C190"/>
  <c r="B190"/>
  <c r="C187"/>
  <c r="C185"/>
  <c r="F179"/>
  <c r="C179"/>
  <c r="B179"/>
  <c r="F178"/>
  <c r="C178"/>
  <c r="B178"/>
  <c r="F177"/>
  <c r="C177"/>
  <c r="B177"/>
  <c r="F176"/>
  <c r="F180" l="1"/>
  <c r="C176"/>
  <c r="B176"/>
  <c r="C173"/>
  <c r="C171"/>
  <c r="F165"/>
  <c r="C165"/>
  <c r="B165"/>
  <c r="F164"/>
  <c r="C164"/>
  <c r="B164"/>
  <c r="F163"/>
  <c r="C163"/>
  <c r="B163"/>
  <c r="F162"/>
  <c r="F166" l="1"/>
  <c r="C162"/>
  <c r="B162"/>
  <c r="C159"/>
  <c r="C157"/>
  <c r="F151"/>
  <c r="C151"/>
  <c r="B151"/>
  <c r="F150"/>
  <c r="C150"/>
  <c r="B150"/>
  <c r="F149"/>
  <c r="C149"/>
  <c r="B149"/>
  <c r="F148"/>
  <c r="F152" l="1"/>
  <c r="C148"/>
  <c r="B148"/>
  <c r="C145"/>
  <c r="C143"/>
  <c r="F137"/>
  <c r="C137"/>
  <c r="B137"/>
  <c r="F136"/>
  <c r="C136"/>
  <c r="B136"/>
  <c r="F135"/>
  <c r="C135"/>
  <c r="B135"/>
  <c r="F134"/>
  <c r="F138" l="1"/>
  <c r="C134"/>
  <c r="B134"/>
  <c r="C131"/>
  <c r="C129"/>
  <c r="F123"/>
  <c r="C123"/>
  <c r="B123"/>
  <c r="F122"/>
  <c r="C122"/>
  <c r="B122"/>
  <c r="F121"/>
  <c r="C121"/>
  <c r="B121"/>
  <c r="F120"/>
  <c r="C120"/>
  <c r="B120"/>
  <c r="F119"/>
  <c r="C119"/>
  <c r="B119"/>
  <c r="F118"/>
  <c r="F124" l="1"/>
  <c r="C118"/>
  <c r="B118"/>
  <c r="C115"/>
  <c r="C113"/>
  <c r="F107"/>
  <c r="C107"/>
  <c r="B107"/>
  <c r="F106"/>
  <c r="C106"/>
  <c r="B106"/>
  <c r="F105"/>
  <c r="C105"/>
  <c r="B105"/>
  <c r="F104"/>
  <c r="F108" l="1"/>
  <c r="C104"/>
  <c r="B104"/>
  <c r="C101"/>
  <c r="C99"/>
  <c r="F93"/>
  <c r="C93"/>
  <c r="B93"/>
  <c r="F92"/>
  <c r="C92"/>
  <c r="B92"/>
  <c r="F91"/>
  <c r="C91"/>
  <c r="B91"/>
  <c r="F90"/>
  <c r="F94" l="1"/>
  <c r="C90"/>
  <c r="B90"/>
  <c r="C87"/>
  <c r="C85"/>
  <c r="F79"/>
  <c r="C79"/>
  <c r="B79"/>
  <c r="F78"/>
  <c r="C78"/>
  <c r="B78"/>
  <c r="F77"/>
  <c r="C77"/>
  <c r="B77"/>
  <c r="F76"/>
  <c r="F80" l="1"/>
  <c r="C76"/>
  <c r="B76"/>
  <c r="C73"/>
  <c r="C71"/>
  <c r="F65"/>
  <c r="C65"/>
  <c r="B65"/>
  <c r="F64"/>
  <c r="C64"/>
  <c r="B64"/>
  <c r="F63"/>
  <c r="C63"/>
  <c r="B63"/>
  <c r="F62"/>
  <c r="F66" l="1"/>
  <c r="C62"/>
  <c r="B62"/>
  <c r="C59"/>
  <c r="C57"/>
  <c r="F51"/>
  <c r="C51"/>
  <c r="B51"/>
  <c r="F50"/>
  <c r="C50"/>
  <c r="B50"/>
  <c r="F49"/>
  <c r="C49"/>
  <c r="B49"/>
  <c r="F48"/>
  <c r="C48"/>
  <c r="B48"/>
  <c r="F47"/>
  <c r="C47"/>
  <c r="B47"/>
  <c r="F46"/>
  <c r="C46"/>
  <c r="B46"/>
  <c r="F45"/>
  <c r="C45"/>
  <c r="B45"/>
  <c r="F44"/>
  <c r="C44"/>
  <c r="B44"/>
  <c r="F43"/>
  <c r="C43"/>
  <c r="B43"/>
  <c r="F42"/>
  <c r="C42"/>
  <c r="B42"/>
  <c r="F41"/>
  <c r="C41"/>
  <c r="B41"/>
  <c r="F40"/>
  <c r="C40"/>
  <c r="B40"/>
  <c r="F39"/>
  <c r="C39"/>
  <c r="B39"/>
  <c r="F38"/>
  <c r="C38"/>
  <c r="B38"/>
  <c r="F37"/>
  <c r="F52" l="1"/>
  <c r="C37"/>
  <c r="B37"/>
  <c r="C34"/>
  <c r="C32"/>
  <c r="F26"/>
  <c r="C26"/>
  <c r="B26"/>
  <c r="F25"/>
  <c r="C25"/>
  <c r="B25"/>
  <c r="F24"/>
  <c r="C24"/>
  <c r="B24"/>
  <c r="F23"/>
  <c r="F27" l="1"/>
  <c r="C23"/>
  <c r="B23"/>
  <c r="C20"/>
  <c r="C18"/>
  <c r="B10"/>
  <c r="B9"/>
  <c r="B3"/>
</calcChain>
</file>

<file path=xl/comments1.xml><?xml version="1.0" encoding="utf-8"?>
<comments xmlns="http://schemas.openxmlformats.org/spreadsheetml/2006/main">
  <authors>
    <author>Zuria Castellanos</author>
    <author>nextapp</author>
    <author>mcorreia</author>
  </authors>
  <commentList>
    <comment ref="E11" authorId="0">
      <text>
        <r>
          <rPr>
            <b/>
            <sz val="9"/>
            <rFont val="Tahoma"/>
            <family val="2"/>
          </rPr>
          <t>Introduzca el año del PACC</t>
        </r>
      </text>
    </comment>
    <comment ref="E12" authorId="0">
      <text>
        <r>
          <rPr>
            <b/>
            <sz val="9"/>
            <rFont val="Tahoma"/>
            <family val="2"/>
          </rPr>
          <t>Introduzca la fecha de aprobación, en formato dd/mm/aaaa</t>
        </r>
      </text>
    </comment>
    <comment ref="A16" authorId="1">
      <text>
        <r>
          <rPr>
            <sz val="11"/>
            <color theme="1"/>
            <rFont val="Calibri"/>
            <family val="2"/>
            <scheme val="minor"/>
          </rPr>
          <t>Introducir un texto con el nombre o referencia de la contratación</t>
        </r>
      </text>
    </comment>
    <comment ref="B16" authorId="1">
      <text>
        <r>
          <rPr>
            <sz val="11"/>
            <color theme="1"/>
            <rFont val="Calibri"/>
            <family val="2"/>
            <scheme val="minor"/>
          </rPr>
          <t>Introduzca un texto con la finalidad de la contratación</t>
        </r>
      </text>
    </comment>
    <comment ref="C16" authorId="1">
      <text>
        <r>
          <rPr>
            <sz val="11"/>
            <color theme="1"/>
            <rFont val="Calibri"/>
            <family val="2"/>
            <scheme val="minor"/>
          </rPr>
          <t>Seleccionar un valor del listado</t>
        </r>
      </text>
    </comment>
    <comment ref="D16" authorId="1">
      <text>
        <r>
          <rPr>
            <sz val="11"/>
            <color theme="1"/>
            <rFont val="Calibri"/>
            <family val="2"/>
            <scheme val="minor"/>
          </rPr>
          <t>Seleccione el tipo de procedimiento</t>
        </r>
      </text>
    </comment>
    <comment ref="E16" authorId="1">
      <text>
        <r>
          <rPr>
            <sz val="11"/>
            <color theme="1"/>
            <rFont val="Calibri"/>
            <family val="2"/>
            <scheme val="minor"/>
          </rPr>
          <t>Seleccione un valor de la lista</t>
        </r>
      </text>
    </comment>
    <comment ref="F16" authorId="1">
      <text>
        <r>
          <rPr>
            <sz val="11"/>
            <color theme="1"/>
            <rFont val="Calibri"/>
            <family val="2"/>
            <scheme val="minor"/>
          </rPr>
          <t>Introduzca el código SNIP</t>
        </r>
      </text>
    </comment>
    <comment ref="C17" authorId="1">
      <text>
        <r>
          <rPr>
            <sz val="11"/>
            <color theme="1"/>
            <rFont val="Calibri"/>
            <family val="2"/>
            <scheme val="minor"/>
          </rPr>
          <t>Introduzca la fecha de inicio del proceso, en formato dd-mm-aaaa</t>
        </r>
      </text>
    </comment>
    <comment ref="F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text/>
    </comment>
    <comment ref="C19" authorId="1">
      <text>
        <r>
          <rPr>
            <sz val="11"/>
            <color theme="1"/>
            <rFont val="Calibri"/>
            <family val="2"/>
            <scheme val="minor"/>
          </rPr>
          <t>Introduzca la fecha prevista de adjudicación, en formato dd-mm-aaaa</t>
        </r>
      </text>
    </comment>
    <comment ref="F19" authorId="1">
      <text/>
    </comment>
    <comment ref="F20" authorId="1">
      <text/>
    </comment>
    <comment ref="A22" authorId="1">
      <text>
        <r>
          <rPr>
            <sz val="11"/>
            <color theme="1"/>
            <rFont val="Calibri"/>
            <family val="2"/>
            <scheme val="minor"/>
          </rPr>
          <t>Introduzca un codigo UNSPSC</t>
        </r>
      </text>
    </comment>
    <comment ref="B22" authorId="1">
      <text>
        <r>
          <rPr>
            <sz val="11"/>
            <color theme="1"/>
            <rFont val="Calibri"/>
            <family val="2"/>
            <scheme val="minor"/>
          </rPr>
          <t>Descripción calculada automáticamente a partir de código del artículo</t>
        </r>
      </text>
    </comment>
    <comment ref="C22" authorId="1">
      <text>
        <r>
          <rPr>
            <sz val="11"/>
            <color theme="1"/>
            <rFont val="Calibri"/>
            <family val="2"/>
            <scheme val="minor"/>
          </rPr>
          <t>Seleccione un valor de la lista</t>
        </r>
      </text>
    </comment>
    <comment ref="D22" authorId="1">
      <text>
        <r>
          <rPr>
            <sz val="11"/>
            <color theme="1"/>
            <rFont val="Calibri"/>
            <family val="2"/>
            <scheme val="minor"/>
          </rPr>
          <t>Introduzca un número con dos decimales como máximo. Debe ser igual o mayor a la "Cantidad Real Consumida"</t>
        </r>
      </text>
    </comment>
    <comment ref="E22" authorId="1">
      <text>
        <r>
          <rPr>
            <sz val="11"/>
            <color theme="1"/>
            <rFont val="Calibri"/>
            <family val="2"/>
            <scheme val="minor"/>
          </rPr>
          <t>Introduzca un número con dos decimales como máximo</t>
        </r>
      </text>
    </comment>
    <comment ref="F22" authorId="1">
      <text>
        <r>
          <rPr>
            <sz val="11"/>
            <color theme="1"/>
            <rFont val="Calibri"/>
            <family val="2"/>
            <scheme val="minor"/>
          </rPr>
          <t>Monto calculado automáticamente por el sistema</t>
        </r>
      </text>
    </comment>
    <comment ref="A30" authorId="1">
      <text>
        <r>
          <rPr>
            <sz val="11"/>
            <color theme="1"/>
            <rFont val="Calibri"/>
            <family val="2"/>
            <scheme val="minor"/>
          </rPr>
          <t>Introducir un texto con el nombre o referencia de la contratación</t>
        </r>
      </text>
    </comment>
    <comment ref="B30" authorId="1">
      <text>
        <r>
          <rPr>
            <sz val="11"/>
            <color theme="1"/>
            <rFont val="Calibri"/>
            <family val="2"/>
            <scheme val="minor"/>
          </rPr>
          <t>Introduzca un texto con la finalidad de la contratación</t>
        </r>
      </text>
    </comment>
    <comment ref="C30" authorId="1">
      <text>
        <r>
          <rPr>
            <sz val="11"/>
            <color theme="1"/>
            <rFont val="Calibri"/>
            <family val="2"/>
            <scheme val="minor"/>
          </rPr>
          <t>Seleccionar un valor del listado</t>
        </r>
      </text>
    </comment>
    <comment ref="D30" authorId="1">
      <text>
        <r>
          <rPr>
            <sz val="11"/>
            <color theme="1"/>
            <rFont val="Calibri"/>
            <family val="2"/>
            <scheme val="minor"/>
          </rPr>
          <t>Seleccione el tipo de procedimiento</t>
        </r>
      </text>
    </comment>
    <comment ref="E30" authorId="1">
      <text>
        <r>
          <rPr>
            <sz val="11"/>
            <color theme="1"/>
            <rFont val="Calibri"/>
            <family val="2"/>
            <scheme val="minor"/>
          </rPr>
          <t>Seleccione un valor de la lista</t>
        </r>
      </text>
    </comment>
    <comment ref="F30" authorId="1">
      <text>
        <r>
          <rPr>
            <sz val="11"/>
            <color theme="1"/>
            <rFont val="Calibri"/>
            <family val="2"/>
            <scheme val="minor"/>
          </rPr>
          <t>Introduzca el código SNIP</t>
        </r>
      </text>
    </comment>
    <comment ref="C31" authorId="1">
      <text>
        <r>
          <rPr>
            <sz val="11"/>
            <color theme="1"/>
            <rFont val="Calibri"/>
            <family val="2"/>
            <scheme val="minor"/>
          </rPr>
          <t>Introduzca la fecha de inicio del proceso, en formato dd-mm-aaaa</t>
        </r>
      </text>
    </comment>
    <comment ref="F3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 authorId="1">
      <text/>
    </comment>
    <comment ref="C33" authorId="1">
      <text>
        <r>
          <rPr>
            <sz val="11"/>
            <color theme="1"/>
            <rFont val="Calibri"/>
            <family val="2"/>
            <scheme val="minor"/>
          </rPr>
          <t>Introduzca la fecha prevista de adjudicación, en formato dd-mm-aaaa</t>
        </r>
      </text>
    </comment>
    <comment ref="F33" authorId="1">
      <text/>
    </comment>
    <comment ref="F34" authorId="1">
      <text/>
    </comment>
    <comment ref="A36" authorId="1">
      <text>
        <r>
          <rPr>
            <sz val="11"/>
            <color theme="1"/>
            <rFont val="Calibri"/>
            <family val="2"/>
            <scheme val="minor"/>
          </rPr>
          <t>Introduzca un codigo UNSPSC</t>
        </r>
      </text>
    </comment>
    <comment ref="B36" authorId="1">
      <text>
        <r>
          <rPr>
            <sz val="11"/>
            <color theme="1"/>
            <rFont val="Calibri"/>
            <family val="2"/>
            <scheme val="minor"/>
          </rPr>
          <t>Descripción calculada automáticamente a partir de código del artículo</t>
        </r>
      </text>
    </comment>
    <comment ref="C36" authorId="1">
      <text>
        <r>
          <rPr>
            <sz val="11"/>
            <color theme="1"/>
            <rFont val="Calibri"/>
            <family val="2"/>
            <scheme val="minor"/>
          </rPr>
          <t>Seleccione un valor de la lista</t>
        </r>
      </text>
    </comment>
    <comment ref="D36" authorId="1">
      <text>
        <r>
          <rPr>
            <sz val="11"/>
            <color theme="1"/>
            <rFont val="Calibri"/>
            <family val="2"/>
            <scheme val="minor"/>
          </rPr>
          <t>Introduzca un número con dos decimales como máximo. Debe ser igual o mayor a la "Cantidad Real Consumida"</t>
        </r>
      </text>
    </comment>
    <comment ref="E36" authorId="1">
      <text>
        <r>
          <rPr>
            <sz val="11"/>
            <color theme="1"/>
            <rFont val="Calibri"/>
            <family val="2"/>
            <scheme val="minor"/>
          </rPr>
          <t>Introduzca un número con dos decimales como máximo</t>
        </r>
      </text>
    </comment>
    <comment ref="F36" authorId="1">
      <text>
        <r>
          <rPr>
            <sz val="11"/>
            <color theme="1"/>
            <rFont val="Calibri"/>
            <family val="2"/>
            <scheme val="minor"/>
          </rPr>
          <t>Monto calculado automáticamente por el sistema</t>
        </r>
      </text>
    </comment>
    <comment ref="A55" authorId="1">
      <text>
        <r>
          <rPr>
            <sz val="11"/>
            <color theme="1"/>
            <rFont val="Calibri"/>
            <family val="2"/>
            <scheme val="minor"/>
          </rPr>
          <t>Introducir un texto con el nombre o referencia de la contratación</t>
        </r>
      </text>
    </comment>
    <comment ref="B55" authorId="1">
      <text>
        <r>
          <rPr>
            <sz val="11"/>
            <color theme="1"/>
            <rFont val="Calibri"/>
            <family val="2"/>
            <scheme val="minor"/>
          </rPr>
          <t>Introduzca un texto con la finalidad de la contratación</t>
        </r>
      </text>
    </comment>
    <comment ref="C55" authorId="1">
      <text>
        <r>
          <rPr>
            <sz val="11"/>
            <color theme="1"/>
            <rFont val="Calibri"/>
            <family val="2"/>
            <scheme val="minor"/>
          </rPr>
          <t>Seleccionar un valor del listado</t>
        </r>
      </text>
    </comment>
    <comment ref="D55" authorId="1">
      <text>
        <r>
          <rPr>
            <sz val="11"/>
            <color theme="1"/>
            <rFont val="Calibri"/>
            <family val="2"/>
            <scheme val="minor"/>
          </rPr>
          <t>Seleccione el tipo de procedimiento</t>
        </r>
      </text>
    </comment>
    <comment ref="E55" authorId="1">
      <text>
        <r>
          <rPr>
            <sz val="11"/>
            <color theme="1"/>
            <rFont val="Calibri"/>
            <family val="2"/>
            <scheme val="minor"/>
          </rPr>
          <t>Seleccione un valor de la lista</t>
        </r>
      </text>
    </comment>
    <comment ref="F55" authorId="1">
      <text>
        <r>
          <rPr>
            <sz val="11"/>
            <color theme="1"/>
            <rFont val="Calibri"/>
            <family val="2"/>
            <scheme val="minor"/>
          </rPr>
          <t>Introduzca el código SNIP</t>
        </r>
      </text>
    </comment>
    <comment ref="C56" authorId="1">
      <text>
        <r>
          <rPr>
            <sz val="11"/>
            <color theme="1"/>
            <rFont val="Calibri"/>
            <family val="2"/>
            <scheme val="minor"/>
          </rPr>
          <t>Introduzca la fecha de inicio del proceso, en formato dd-mm-aaaa</t>
        </r>
      </text>
    </comment>
    <comment ref="F5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 authorId="1">
      <text/>
    </comment>
    <comment ref="C58" authorId="1">
      <text>
        <r>
          <rPr>
            <sz val="11"/>
            <color theme="1"/>
            <rFont val="Calibri"/>
            <family val="2"/>
            <scheme val="minor"/>
          </rPr>
          <t>Introduzca la fecha prevista de adjudicación, en formato dd-mm-aaaa</t>
        </r>
      </text>
    </comment>
    <comment ref="F58" authorId="1">
      <text/>
    </comment>
    <comment ref="F59" authorId="1">
      <text/>
    </comment>
    <comment ref="A61" authorId="1">
      <text>
        <r>
          <rPr>
            <sz val="11"/>
            <color theme="1"/>
            <rFont val="Calibri"/>
            <family val="2"/>
            <scheme val="minor"/>
          </rPr>
          <t>Introduzca un codigo UNSPSC</t>
        </r>
      </text>
    </comment>
    <comment ref="B61" authorId="1">
      <text>
        <r>
          <rPr>
            <sz val="11"/>
            <color theme="1"/>
            <rFont val="Calibri"/>
            <family val="2"/>
            <scheme val="minor"/>
          </rPr>
          <t>Descripción calculada automáticamente a partir de código del artículo</t>
        </r>
      </text>
    </comment>
    <comment ref="C61" authorId="1">
      <text>
        <r>
          <rPr>
            <sz val="11"/>
            <color theme="1"/>
            <rFont val="Calibri"/>
            <family val="2"/>
            <scheme val="minor"/>
          </rPr>
          <t>Seleccione un valor de la lista</t>
        </r>
      </text>
    </comment>
    <comment ref="D61" authorId="1">
      <text>
        <r>
          <rPr>
            <sz val="11"/>
            <color theme="1"/>
            <rFont val="Calibri"/>
            <family val="2"/>
            <scheme val="minor"/>
          </rPr>
          <t>Introduzca un número con dos decimales como máximo. Debe ser igual o mayor a la "Cantidad Real Consumida"</t>
        </r>
      </text>
    </comment>
    <comment ref="E61" authorId="1">
      <text>
        <r>
          <rPr>
            <sz val="11"/>
            <color theme="1"/>
            <rFont val="Calibri"/>
            <family val="2"/>
            <scheme val="minor"/>
          </rPr>
          <t>Introduzca un número con dos decimales como máximo</t>
        </r>
      </text>
    </comment>
    <comment ref="F61" authorId="1">
      <text>
        <r>
          <rPr>
            <sz val="11"/>
            <color theme="1"/>
            <rFont val="Calibri"/>
            <family val="2"/>
            <scheme val="minor"/>
          </rPr>
          <t>Monto calculado automáticamente por el sistema</t>
        </r>
      </text>
    </comment>
    <comment ref="A69" authorId="1">
      <text>
        <r>
          <rPr>
            <sz val="11"/>
            <color theme="1"/>
            <rFont val="Calibri"/>
            <family val="2"/>
            <scheme val="minor"/>
          </rPr>
          <t>Introducir un texto con el nombre o referencia de la contratación</t>
        </r>
      </text>
    </comment>
    <comment ref="B69" authorId="1">
      <text>
        <r>
          <rPr>
            <sz val="11"/>
            <color theme="1"/>
            <rFont val="Calibri"/>
            <family val="2"/>
            <scheme val="minor"/>
          </rPr>
          <t>Introduzca un texto con la finalidad de la contratación</t>
        </r>
      </text>
    </comment>
    <comment ref="C69" authorId="1">
      <text>
        <r>
          <rPr>
            <sz val="11"/>
            <color theme="1"/>
            <rFont val="Calibri"/>
            <family val="2"/>
            <scheme val="minor"/>
          </rPr>
          <t>Seleccionar un valor del listado</t>
        </r>
      </text>
    </comment>
    <comment ref="D69" authorId="1">
      <text>
        <r>
          <rPr>
            <sz val="11"/>
            <color theme="1"/>
            <rFont val="Calibri"/>
            <family val="2"/>
            <scheme val="minor"/>
          </rPr>
          <t>Seleccione el tipo de procedimiento</t>
        </r>
      </text>
    </comment>
    <comment ref="E69" authorId="1">
      <text>
        <r>
          <rPr>
            <sz val="11"/>
            <color theme="1"/>
            <rFont val="Calibri"/>
            <family val="2"/>
            <scheme val="minor"/>
          </rPr>
          <t>Seleccione un valor de la lista</t>
        </r>
      </text>
    </comment>
    <comment ref="F69" authorId="1">
      <text>
        <r>
          <rPr>
            <sz val="11"/>
            <color theme="1"/>
            <rFont val="Calibri"/>
            <family val="2"/>
            <scheme val="minor"/>
          </rPr>
          <t>Introduzca el código SNIP</t>
        </r>
      </text>
    </comment>
    <comment ref="C70" authorId="1">
      <text>
        <r>
          <rPr>
            <sz val="11"/>
            <color theme="1"/>
            <rFont val="Calibri"/>
            <family val="2"/>
            <scheme val="minor"/>
          </rPr>
          <t>Introduzca la fecha de inicio del proceso, en formato dd-mm-aaaa</t>
        </r>
      </text>
    </comment>
    <comment ref="F7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 authorId="1">
      <text/>
    </comment>
    <comment ref="C72" authorId="1">
      <text>
        <r>
          <rPr>
            <sz val="11"/>
            <color theme="1"/>
            <rFont val="Calibri"/>
            <family val="2"/>
            <scheme val="minor"/>
          </rPr>
          <t>Introduzca la fecha prevista de adjudicación, en formato dd-mm-aaaa</t>
        </r>
      </text>
    </comment>
    <comment ref="F72" authorId="1">
      <text/>
    </comment>
    <comment ref="F73" authorId="1">
      <text/>
    </comment>
    <comment ref="A75" authorId="1">
      <text>
        <r>
          <rPr>
            <sz val="11"/>
            <color theme="1"/>
            <rFont val="Calibri"/>
            <family val="2"/>
            <scheme val="minor"/>
          </rPr>
          <t>Introduzca un codigo UNSPSC</t>
        </r>
      </text>
    </comment>
    <comment ref="B75" authorId="1">
      <text>
        <r>
          <rPr>
            <sz val="11"/>
            <color theme="1"/>
            <rFont val="Calibri"/>
            <family val="2"/>
            <scheme val="minor"/>
          </rPr>
          <t>Descripción calculada automáticamente a partir de código del artículo</t>
        </r>
      </text>
    </comment>
    <comment ref="C75" authorId="1">
      <text>
        <r>
          <rPr>
            <sz val="11"/>
            <color theme="1"/>
            <rFont val="Calibri"/>
            <family val="2"/>
            <scheme val="minor"/>
          </rPr>
          <t>Seleccione un valor de la lista</t>
        </r>
      </text>
    </comment>
    <comment ref="D75" authorId="1">
      <text>
        <r>
          <rPr>
            <sz val="11"/>
            <color theme="1"/>
            <rFont val="Calibri"/>
            <family val="2"/>
            <scheme val="minor"/>
          </rPr>
          <t>Introduzca un número con dos decimales como máximo. Debe ser igual o mayor a la "Cantidad Real Consumida"</t>
        </r>
      </text>
    </comment>
    <comment ref="E75" authorId="1">
      <text>
        <r>
          <rPr>
            <sz val="11"/>
            <color theme="1"/>
            <rFont val="Calibri"/>
            <family val="2"/>
            <scheme val="minor"/>
          </rPr>
          <t>Introduzca un número con dos decimales como máximo</t>
        </r>
      </text>
    </comment>
    <comment ref="F75" authorId="1">
      <text>
        <r>
          <rPr>
            <sz val="11"/>
            <color theme="1"/>
            <rFont val="Calibri"/>
            <family val="2"/>
            <scheme val="minor"/>
          </rPr>
          <t>Monto calculado automáticamente por el sistema</t>
        </r>
      </text>
    </comment>
    <comment ref="A83" authorId="1">
      <text>
        <r>
          <rPr>
            <sz val="11"/>
            <color theme="1"/>
            <rFont val="Calibri"/>
            <family val="2"/>
            <scheme val="minor"/>
          </rPr>
          <t>Introducir un texto con el nombre o referencia de la contratación</t>
        </r>
      </text>
    </comment>
    <comment ref="B83" authorId="1">
      <text>
        <r>
          <rPr>
            <sz val="11"/>
            <color theme="1"/>
            <rFont val="Calibri"/>
            <family val="2"/>
            <scheme val="minor"/>
          </rPr>
          <t>Introduzca un texto con la finalidad de la contratación</t>
        </r>
      </text>
    </comment>
    <comment ref="C83" authorId="1">
      <text>
        <r>
          <rPr>
            <sz val="11"/>
            <color theme="1"/>
            <rFont val="Calibri"/>
            <family val="2"/>
            <scheme val="minor"/>
          </rPr>
          <t>Seleccionar un valor del listado</t>
        </r>
      </text>
    </comment>
    <comment ref="D83" authorId="1">
      <text>
        <r>
          <rPr>
            <sz val="11"/>
            <color theme="1"/>
            <rFont val="Calibri"/>
            <family val="2"/>
            <scheme val="minor"/>
          </rPr>
          <t>Seleccione el tipo de procedimiento</t>
        </r>
      </text>
    </comment>
    <comment ref="E83" authorId="1">
      <text>
        <r>
          <rPr>
            <sz val="11"/>
            <color theme="1"/>
            <rFont val="Calibri"/>
            <family val="2"/>
            <scheme val="minor"/>
          </rPr>
          <t>Seleccione un valor de la lista</t>
        </r>
      </text>
    </comment>
    <comment ref="F83" authorId="1">
      <text>
        <r>
          <rPr>
            <sz val="11"/>
            <color theme="1"/>
            <rFont val="Calibri"/>
            <family val="2"/>
            <scheme val="minor"/>
          </rPr>
          <t>Introduzca el código SNIP</t>
        </r>
      </text>
    </comment>
    <comment ref="C84" authorId="1">
      <text>
        <r>
          <rPr>
            <sz val="11"/>
            <color theme="1"/>
            <rFont val="Calibri"/>
            <family val="2"/>
            <scheme val="minor"/>
          </rPr>
          <t>Introduzca la fecha de inicio del proceso, en formato dd-mm-aaaa</t>
        </r>
      </text>
    </comment>
    <comment ref="F8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 authorId="1">
      <text/>
    </comment>
    <comment ref="C86" authorId="1">
      <text>
        <r>
          <rPr>
            <sz val="11"/>
            <color theme="1"/>
            <rFont val="Calibri"/>
            <family val="2"/>
            <scheme val="minor"/>
          </rPr>
          <t>Introduzca la fecha prevista de adjudicación, en formato dd-mm-aaaa</t>
        </r>
      </text>
    </comment>
    <comment ref="F86" authorId="1">
      <text/>
    </comment>
    <comment ref="F87" authorId="1">
      <text/>
    </comment>
    <comment ref="A89" authorId="1">
      <text>
        <r>
          <rPr>
            <sz val="11"/>
            <color theme="1"/>
            <rFont val="Calibri"/>
            <family val="2"/>
            <scheme val="minor"/>
          </rPr>
          <t>Introduzca un codigo UNSPSC</t>
        </r>
      </text>
    </comment>
    <comment ref="B89" authorId="1">
      <text>
        <r>
          <rPr>
            <sz val="11"/>
            <color theme="1"/>
            <rFont val="Calibri"/>
            <family val="2"/>
            <scheme val="minor"/>
          </rPr>
          <t>Descripción calculada automáticamente a partir de código del artículo</t>
        </r>
      </text>
    </comment>
    <comment ref="C89" authorId="1">
      <text>
        <r>
          <rPr>
            <sz val="11"/>
            <color theme="1"/>
            <rFont val="Calibri"/>
            <family val="2"/>
            <scheme val="minor"/>
          </rPr>
          <t>Seleccione un valor de la lista</t>
        </r>
      </text>
    </comment>
    <comment ref="D89" authorId="1">
      <text>
        <r>
          <rPr>
            <sz val="11"/>
            <color theme="1"/>
            <rFont val="Calibri"/>
            <family val="2"/>
            <scheme val="minor"/>
          </rPr>
          <t>Introduzca un número con dos decimales como máximo. Debe ser igual o mayor a la "Cantidad Real Consumida"</t>
        </r>
      </text>
    </comment>
    <comment ref="E89" authorId="1">
      <text>
        <r>
          <rPr>
            <sz val="11"/>
            <color theme="1"/>
            <rFont val="Calibri"/>
            <family val="2"/>
            <scheme val="minor"/>
          </rPr>
          <t>Introduzca un número con dos decimales como máximo</t>
        </r>
      </text>
    </comment>
    <comment ref="F89" authorId="1">
      <text>
        <r>
          <rPr>
            <sz val="11"/>
            <color theme="1"/>
            <rFont val="Calibri"/>
            <family val="2"/>
            <scheme val="minor"/>
          </rPr>
          <t>Monto calculado automáticamente por el sistema</t>
        </r>
      </text>
    </comment>
    <comment ref="A97" authorId="1">
      <text>
        <r>
          <rPr>
            <sz val="11"/>
            <color theme="1"/>
            <rFont val="Calibri"/>
            <family val="2"/>
            <scheme val="minor"/>
          </rPr>
          <t>Introducir un texto con el nombre o referencia de la contratación</t>
        </r>
      </text>
    </comment>
    <comment ref="B97" authorId="1">
      <text>
        <r>
          <rPr>
            <sz val="11"/>
            <color theme="1"/>
            <rFont val="Calibri"/>
            <family val="2"/>
            <scheme val="minor"/>
          </rPr>
          <t>Introduzca un texto con la finalidad de la contratación</t>
        </r>
      </text>
    </comment>
    <comment ref="C97" authorId="1">
      <text>
        <r>
          <rPr>
            <sz val="11"/>
            <color theme="1"/>
            <rFont val="Calibri"/>
            <family val="2"/>
            <scheme val="minor"/>
          </rPr>
          <t>Seleccionar un valor del listado</t>
        </r>
      </text>
    </comment>
    <comment ref="D97" authorId="1">
      <text>
        <r>
          <rPr>
            <sz val="11"/>
            <color theme="1"/>
            <rFont val="Calibri"/>
            <family val="2"/>
            <scheme val="minor"/>
          </rPr>
          <t>Seleccione el tipo de procedimiento</t>
        </r>
      </text>
    </comment>
    <comment ref="E97" authorId="1">
      <text>
        <r>
          <rPr>
            <sz val="11"/>
            <color theme="1"/>
            <rFont val="Calibri"/>
            <family val="2"/>
            <scheme val="minor"/>
          </rPr>
          <t>Seleccione un valor de la lista</t>
        </r>
      </text>
    </comment>
    <comment ref="F97" authorId="1">
      <text>
        <r>
          <rPr>
            <sz val="11"/>
            <color theme="1"/>
            <rFont val="Calibri"/>
            <family val="2"/>
            <scheme val="minor"/>
          </rPr>
          <t>Introduzca el código SNIP</t>
        </r>
      </text>
    </comment>
    <comment ref="C98" authorId="1">
      <text>
        <r>
          <rPr>
            <sz val="11"/>
            <color theme="1"/>
            <rFont val="Calibri"/>
            <family val="2"/>
            <scheme val="minor"/>
          </rPr>
          <t>Introduzca la fecha de inicio del proceso, en formato dd-mm-aaaa</t>
        </r>
      </text>
    </comment>
    <comment ref="F9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 authorId="1">
      <text/>
    </comment>
    <comment ref="C100" authorId="1">
      <text>
        <r>
          <rPr>
            <sz val="11"/>
            <color theme="1"/>
            <rFont val="Calibri"/>
            <family val="2"/>
            <scheme val="minor"/>
          </rPr>
          <t>Introduzca la fecha prevista de adjudicación, en formato dd-mm-aaaa</t>
        </r>
      </text>
    </comment>
    <comment ref="F100" authorId="1">
      <text/>
    </comment>
    <comment ref="F101" authorId="1">
      <text/>
    </comment>
    <comment ref="A103" authorId="1">
      <text>
        <r>
          <rPr>
            <sz val="11"/>
            <color theme="1"/>
            <rFont val="Calibri"/>
            <family val="2"/>
            <scheme val="minor"/>
          </rPr>
          <t>Introduzca un codigo UNSPSC</t>
        </r>
      </text>
    </comment>
    <comment ref="B103" authorId="1">
      <text>
        <r>
          <rPr>
            <sz val="11"/>
            <color theme="1"/>
            <rFont val="Calibri"/>
            <family val="2"/>
            <scheme val="minor"/>
          </rPr>
          <t>Descripción calculada automáticamente a partir de código del artículo</t>
        </r>
      </text>
    </comment>
    <comment ref="C103" authorId="1">
      <text>
        <r>
          <rPr>
            <sz val="11"/>
            <color theme="1"/>
            <rFont val="Calibri"/>
            <family val="2"/>
            <scheme val="minor"/>
          </rPr>
          <t>Seleccione un valor de la lista</t>
        </r>
      </text>
    </comment>
    <comment ref="D103" authorId="1">
      <text>
        <r>
          <rPr>
            <sz val="11"/>
            <color theme="1"/>
            <rFont val="Calibri"/>
            <family val="2"/>
            <scheme val="minor"/>
          </rPr>
          <t>Introduzca un número con dos decimales como máximo. Debe ser igual o mayor a la "Cantidad Real Consumida"</t>
        </r>
      </text>
    </comment>
    <comment ref="E103" authorId="1">
      <text>
        <r>
          <rPr>
            <sz val="11"/>
            <color theme="1"/>
            <rFont val="Calibri"/>
            <family val="2"/>
            <scheme val="minor"/>
          </rPr>
          <t>Introduzca un número con dos decimales como máximo</t>
        </r>
      </text>
    </comment>
    <comment ref="F103" authorId="1">
      <text>
        <r>
          <rPr>
            <sz val="11"/>
            <color theme="1"/>
            <rFont val="Calibri"/>
            <family val="2"/>
            <scheme val="minor"/>
          </rPr>
          <t>Monto calculado automáticamente por el sistema</t>
        </r>
      </text>
    </comment>
    <comment ref="A111" authorId="1">
      <text>
        <r>
          <rPr>
            <sz val="11"/>
            <color theme="1"/>
            <rFont val="Calibri"/>
            <family val="2"/>
            <scheme val="minor"/>
          </rPr>
          <t>Introducir un texto con el nombre o referencia de la contratación</t>
        </r>
      </text>
    </comment>
    <comment ref="B111" authorId="1">
      <text>
        <r>
          <rPr>
            <sz val="11"/>
            <color theme="1"/>
            <rFont val="Calibri"/>
            <family val="2"/>
            <scheme val="minor"/>
          </rPr>
          <t>Introduzca un texto con la finalidad de la contratación</t>
        </r>
      </text>
    </comment>
    <comment ref="C111" authorId="1">
      <text>
        <r>
          <rPr>
            <sz val="11"/>
            <color theme="1"/>
            <rFont val="Calibri"/>
            <family val="2"/>
            <scheme val="minor"/>
          </rPr>
          <t>Seleccionar un valor del listado</t>
        </r>
      </text>
    </comment>
    <comment ref="D111" authorId="1">
      <text>
        <r>
          <rPr>
            <sz val="11"/>
            <color theme="1"/>
            <rFont val="Calibri"/>
            <family val="2"/>
            <scheme val="minor"/>
          </rPr>
          <t>Seleccione el tipo de procedimiento</t>
        </r>
      </text>
    </comment>
    <comment ref="E111" authorId="1">
      <text>
        <r>
          <rPr>
            <sz val="11"/>
            <color theme="1"/>
            <rFont val="Calibri"/>
            <family val="2"/>
            <scheme val="minor"/>
          </rPr>
          <t>Seleccione un valor de la lista</t>
        </r>
      </text>
    </comment>
    <comment ref="F111" authorId="1">
      <text>
        <r>
          <rPr>
            <sz val="11"/>
            <color theme="1"/>
            <rFont val="Calibri"/>
            <family val="2"/>
            <scheme val="minor"/>
          </rPr>
          <t>Introduzca el código SNIP</t>
        </r>
      </text>
    </comment>
    <comment ref="C112" authorId="1">
      <text>
        <r>
          <rPr>
            <sz val="11"/>
            <color theme="1"/>
            <rFont val="Calibri"/>
            <family val="2"/>
            <scheme val="minor"/>
          </rPr>
          <t>Introduzca la fecha de inicio del proceso, en formato dd-mm-aaaa</t>
        </r>
      </text>
    </comment>
    <comment ref="F11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 authorId="1">
      <text/>
    </comment>
    <comment ref="C114" authorId="1">
      <text>
        <r>
          <rPr>
            <sz val="11"/>
            <color theme="1"/>
            <rFont val="Calibri"/>
            <family val="2"/>
            <scheme val="minor"/>
          </rPr>
          <t>Introduzca la fecha prevista de adjudicación, en formato dd-mm-aaaa</t>
        </r>
      </text>
    </comment>
    <comment ref="F114" authorId="1">
      <text/>
    </comment>
    <comment ref="F115" authorId="1">
      <text/>
    </comment>
    <comment ref="A117" authorId="1">
      <text>
        <r>
          <rPr>
            <sz val="11"/>
            <color theme="1"/>
            <rFont val="Calibri"/>
            <family val="2"/>
            <scheme val="minor"/>
          </rPr>
          <t>Introduzca un codigo UNSPSC</t>
        </r>
      </text>
    </comment>
    <comment ref="B117" authorId="1">
      <text>
        <r>
          <rPr>
            <sz val="11"/>
            <color theme="1"/>
            <rFont val="Calibri"/>
            <family val="2"/>
            <scheme val="minor"/>
          </rPr>
          <t>Descripción calculada automáticamente a partir de código del artículo</t>
        </r>
      </text>
    </comment>
    <comment ref="C117" authorId="1">
      <text>
        <r>
          <rPr>
            <sz val="11"/>
            <color theme="1"/>
            <rFont val="Calibri"/>
            <family val="2"/>
            <scheme val="minor"/>
          </rPr>
          <t>Seleccione un valor de la lista</t>
        </r>
      </text>
    </comment>
    <comment ref="D117" authorId="1">
      <text>
        <r>
          <rPr>
            <sz val="11"/>
            <color theme="1"/>
            <rFont val="Calibri"/>
            <family val="2"/>
            <scheme val="minor"/>
          </rPr>
          <t>Introduzca un número con dos decimales como máximo. Debe ser igual o mayor a la "Cantidad Real Consumida"</t>
        </r>
      </text>
    </comment>
    <comment ref="E117" authorId="1">
      <text>
        <r>
          <rPr>
            <sz val="11"/>
            <color theme="1"/>
            <rFont val="Calibri"/>
            <family val="2"/>
            <scheme val="minor"/>
          </rPr>
          <t>Introduzca un número con dos decimales como máximo</t>
        </r>
      </text>
    </comment>
    <comment ref="F117" authorId="1">
      <text>
        <r>
          <rPr>
            <sz val="11"/>
            <color theme="1"/>
            <rFont val="Calibri"/>
            <family val="2"/>
            <scheme val="minor"/>
          </rPr>
          <t>Monto calculado automáticamente por el sistema</t>
        </r>
      </text>
    </comment>
    <comment ref="A127" authorId="1">
      <text>
        <r>
          <rPr>
            <sz val="11"/>
            <color theme="1"/>
            <rFont val="Calibri"/>
            <family val="2"/>
            <scheme val="minor"/>
          </rPr>
          <t>Introducir un texto con el nombre o referencia de la contratación</t>
        </r>
      </text>
    </comment>
    <comment ref="B127" authorId="1">
      <text>
        <r>
          <rPr>
            <sz val="11"/>
            <color theme="1"/>
            <rFont val="Calibri"/>
            <family val="2"/>
            <scheme val="minor"/>
          </rPr>
          <t>Introduzca un texto con la finalidad de la contratación</t>
        </r>
      </text>
    </comment>
    <comment ref="C127" authorId="1">
      <text>
        <r>
          <rPr>
            <sz val="11"/>
            <color theme="1"/>
            <rFont val="Calibri"/>
            <family val="2"/>
            <scheme val="minor"/>
          </rPr>
          <t>Seleccionar un valor del listado</t>
        </r>
      </text>
    </comment>
    <comment ref="D127" authorId="1">
      <text>
        <r>
          <rPr>
            <sz val="11"/>
            <color theme="1"/>
            <rFont val="Calibri"/>
            <family val="2"/>
            <scheme val="minor"/>
          </rPr>
          <t>Seleccione el tipo de procedimiento</t>
        </r>
      </text>
    </comment>
    <comment ref="E127" authorId="1">
      <text>
        <r>
          <rPr>
            <sz val="11"/>
            <color theme="1"/>
            <rFont val="Calibri"/>
            <family val="2"/>
            <scheme val="minor"/>
          </rPr>
          <t>Seleccione un valor de la lista</t>
        </r>
      </text>
    </comment>
    <comment ref="F127" authorId="1">
      <text>
        <r>
          <rPr>
            <sz val="11"/>
            <color theme="1"/>
            <rFont val="Calibri"/>
            <family val="2"/>
            <scheme val="minor"/>
          </rPr>
          <t>Introduzca el código SNIP</t>
        </r>
      </text>
    </comment>
    <comment ref="C128" authorId="1">
      <text>
        <r>
          <rPr>
            <sz val="11"/>
            <color theme="1"/>
            <rFont val="Calibri"/>
            <family val="2"/>
            <scheme val="minor"/>
          </rPr>
          <t>Introduzca la fecha de inicio del proceso, en formato dd-mm-aaaa</t>
        </r>
      </text>
    </comment>
    <comment ref="F12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9" authorId="1">
      <text/>
    </comment>
    <comment ref="C130" authorId="1">
      <text>
        <r>
          <rPr>
            <sz val="11"/>
            <color theme="1"/>
            <rFont val="Calibri"/>
            <family val="2"/>
            <scheme val="minor"/>
          </rPr>
          <t>Introduzca la fecha prevista de adjudicación, en formato dd-mm-aaaa</t>
        </r>
      </text>
    </comment>
    <comment ref="F130" authorId="1">
      <text/>
    </comment>
    <comment ref="F131" authorId="1">
      <text/>
    </comment>
    <comment ref="A133" authorId="1">
      <text>
        <r>
          <rPr>
            <sz val="11"/>
            <color theme="1"/>
            <rFont val="Calibri"/>
            <family val="2"/>
            <scheme val="minor"/>
          </rPr>
          <t>Introduzca un codigo UNSPSC</t>
        </r>
      </text>
    </comment>
    <comment ref="B133" authorId="1">
      <text>
        <r>
          <rPr>
            <sz val="11"/>
            <color theme="1"/>
            <rFont val="Calibri"/>
            <family val="2"/>
            <scheme val="minor"/>
          </rPr>
          <t>Descripción calculada automáticamente a partir de código del artículo</t>
        </r>
      </text>
    </comment>
    <comment ref="C133" authorId="1">
      <text>
        <r>
          <rPr>
            <sz val="11"/>
            <color theme="1"/>
            <rFont val="Calibri"/>
            <family val="2"/>
            <scheme val="minor"/>
          </rPr>
          <t>Seleccione un valor de la lista</t>
        </r>
      </text>
    </comment>
    <comment ref="D133" authorId="1">
      <text>
        <r>
          <rPr>
            <sz val="11"/>
            <color theme="1"/>
            <rFont val="Calibri"/>
            <family val="2"/>
            <scheme val="minor"/>
          </rPr>
          <t>Introduzca un número con dos decimales como máximo. Debe ser igual o mayor a la "Cantidad Real Consumida"</t>
        </r>
      </text>
    </comment>
    <comment ref="E133" authorId="1">
      <text>
        <r>
          <rPr>
            <sz val="11"/>
            <color theme="1"/>
            <rFont val="Calibri"/>
            <family val="2"/>
            <scheme val="minor"/>
          </rPr>
          <t>Introduzca un número con dos decimales como máximo</t>
        </r>
      </text>
    </comment>
    <comment ref="F133" authorId="1">
      <text>
        <r>
          <rPr>
            <sz val="11"/>
            <color theme="1"/>
            <rFont val="Calibri"/>
            <family val="2"/>
            <scheme val="minor"/>
          </rPr>
          <t>Monto calculado automáticamente por el sistema</t>
        </r>
      </text>
    </comment>
    <comment ref="A141" authorId="1">
      <text>
        <r>
          <rPr>
            <sz val="11"/>
            <color theme="1"/>
            <rFont val="Calibri"/>
            <family val="2"/>
            <scheme val="minor"/>
          </rPr>
          <t>Introducir un texto con el nombre o referencia de la contratación</t>
        </r>
      </text>
    </comment>
    <comment ref="B141" authorId="1">
      <text>
        <r>
          <rPr>
            <sz val="11"/>
            <color theme="1"/>
            <rFont val="Calibri"/>
            <family val="2"/>
            <scheme val="minor"/>
          </rPr>
          <t>Introduzca un texto con la finalidad de la contratación</t>
        </r>
      </text>
    </comment>
    <comment ref="C141" authorId="1">
      <text>
        <r>
          <rPr>
            <sz val="11"/>
            <color theme="1"/>
            <rFont val="Calibri"/>
            <family val="2"/>
            <scheme val="minor"/>
          </rPr>
          <t>Seleccionar un valor del listado</t>
        </r>
      </text>
    </comment>
    <comment ref="D141" authorId="1">
      <text>
        <r>
          <rPr>
            <sz val="11"/>
            <color theme="1"/>
            <rFont val="Calibri"/>
            <family val="2"/>
            <scheme val="minor"/>
          </rPr>
          <t>Seleccione el tipo de procedimiento</t>
        </r>
      </text>
    </comment>
    <comment ref="E141" authorId="1">
      <text>
        <r>
          <rPr>
            <sz val="11"/>
            <color theme="1"/>
            <rFont val="Calibri"/>
            <family val="2"/>
            <scheme val="minor"/>
          </rPr>
          <t>Seleccione un valor de la lista</t>
        </r>
      </text>
    </comment>
    <comment ref="F141" authorId="1">
      <text>
        <r>
          <rPr>
            <sz val="11"/>
            <color theme="1"/>
            <rFont val="Calibri"/>
            <family val="2"/>
            <scheme val="minor"/>
          </rPr>
          <t>Introduzca el código SNIP</t>
        </r>
      </text>
    </comment>
    <comment ref="C142" authorId="1">
      <text>
        <r>
          <rPr>
            <sz val="11"/>
            <color theme="1"/>
            <rFont val="Calibri"/>
            <family val="2"/>
            <scheme val="minor"/>
          </rPr>
          <t>Introduzca la fecha de inicio del proceso, en formato dd-mm-aaaa</t>
        </r>
      </text>
    </comment>
    <comment ref="F14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3" authorId="1">
      <text/>
    </comment>
    <comment ref="C144" authorId="1">
      <text>
        <r>
          <rPr>
            <sz val="11"/>
            <color theme="1"/>
            <rFont val="Calibri"/>
            <family val="2"/>
            <scheme val="minor"/>
          </rPr>
          <t>Introduzca la fecha prevista de adjudicación, en formato dd-mm-aaaa</t>
        </r>
      </text>
    </comment>
    <comment ref="F144" authorId="1">
      <text/>
    </comment>
    <comment ref="F145" authorId="1">
      <text/>
    </comment>
    <comment ref="A147" authorId="1">
      <text>
        <r>
          <rPr>
            <sz val="11"/>
            <color theme="1"/>
            <rFont val="Calibri"/>
            <family val="2"/>
            <scheme val="minor"/>
          </rPr>
          <t>Introduzca un codigo UNSPSC</t>
        </r>
      </text>
    </comment>
    <comment ref="B147" authorId="1">
      <text>
        <r>
          <rPr>
            <sz val="11"/>
            <color theme="1"/>
            <rFont val="Calibri"/>
            <family val="2"/>
            <scheme val="minor"/>
          </rPr>
          <t>Descripción calculada automáticamente a partir de código del artículo</t>
        </r>
      </text>
    </comment>
    <comment ref="C147" authorId="1">
      <text>
        <r>
          <rPr>
            <sz val="11"/>
            <color theme="1"/>
            <rFont val="Calibri"/>
            <family val="2"/>
            <scheme val="minor"/>
          </rPr>
          <t>Seleccione un valor de la lista</t>
        </r>
      </text>
    </comment>
    <comment ref="D147" authorId="1">
      <text>
        <r>
          <rPr>
            <sz val="11"/>
            <color theme="1"/>
            <rFont val="Calibri"/>
            <family val="2"/>
            <scheme val="minor"/>
          </rPr>
          <t>Introduzca un número con dos decimales como máximo. Debe ser igual o mayor a la "Cantidad Real Consumida"</t>
        </r>
      </text>
    </comment>
    <comment ref="E147" authorId="1">
      <text>
        <r>
          <rPr>
            <sz val="11"/>
            <color theme="1"/>
            <rFont val="Calibri"/>
            <family val="2"/>
            <scheme val="minor"/>
          </rPr>
          <t>Introduzca un número con dos decimales como máximo</t>
        </r>
      </text>
    </comment>
    <comment ref="F147" authorId="1">
      <text>
        <r>
          <rPr>
            <sz val="11"/>
            <color theme="1"/>
            <rFont val="Calibri"/>
            <family val="2"/>
            <scheme val="minor"/>
          </rPr>
          <t>Monto calculado automáticamente por el sistema</t>
        </r>
      </text>
    </comment>
    <comment ref="A155" authorId="1">
      <text>
        <r>
          <rPr>
            <sz val="11"/>
            <color theme="1"/>
            <rFont val="Calibri"/>
            <family val="2"/>
            <scheme val="minor"/>
          </rPr>
          <t>Introducir un texto con el nombre o referencia de la contratación</t>
        </r>
      </text>
    </comment>
    <comment ref="B155" authorId="1">
      <text>
        <r>
          <rPr>
            <sz val="11"/>
            <color theme="1"/>
            <rFont val="Calibri"/>
            <family val="2"/>
            <scheme val="minor"/>
          </rPr>
          <t>Introduzca un texto con la finalidad de la contratación</t>
        </r>
      </text>
    </comment>
    <comment ref="C155" authorId="1">
      <text>
        <r>
          <rPr>
            <sz val="11"/>
            <color theme="1"/>
            <rFont val="Calibri"/>
            <family val="2"/>
            <scheme val="minor"/>
          </rPr>
          <t>Seleccionar un valor del listado</t>
        </r>
      </text>
    </comment>
    <comment ref="D155" authorId="1">
      <text>
        <r>
          <rPr>
            <sz val="11"/>
            <color theme="1"/>
            <rFont val="Calibri"/>
            <family val="2"/>
            <scheme val="minor"/>
          </rPr>
          <t>Seleccione el tipo de procedimiento</t>
        </r>
      </text>
    </comment>
    <comment ref="E155" authorId="1">
      <text>
        <r>
          <rPr>
            <sz val="11"/>
            <color theme="1"/>
            <rFont val="Calibri"/>
            <family val="2"/>
            <scheme val="minor"/>
          </rPr>
          <t>Seleccione un valor de la lista</t>
        </r>
      </text>
    </comment>
    <comment ref="F155" authorId="1">
      <text>
        <r>
          <rPr>
            <sz val="11"/>
            <color theme="1"/>
            <rFont val="Calibri"/>
            <family val="2"/>
            <scheme val="minor"/>
          </rPr>
          <t>Introduzca el código SNIP</t>
        </r>
      </text>
    </comment>
    <comment ref="C156" authorId="1">
      <text>
        <r>
          <rPr>
            <sz val="11"/>
            <color theme="1"/>
            <rFont val="Calibri"/>
            <family val="2"/>
            <scheme val="minor"/>
          </rPr>
          <t>Introduzca la fecha de inicio del proceso, en formato dd-mm-aaaa</t>
        </r>
      </text>
    </comment>
    <comment ref="F15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7" authorId="1">
      <text/>
    </comment>
    <comment ref="C158" authorId="1">
      <text>
        <r>
          <rPr>
            <sz val="11"/>
            <color theme="1"/>
            <rFont val="Calibri"/>
            <family val="2"/>
            <scheme val="minor"/>
          </rPr>
          <t>Introduzca la fecha prevista de adjudicación, en formato dd-mm-aaaa</t>
        </r>
      </text>
    </comment>
    <comment ref="F158" authorId="1">
      <text/>
    </comment>
    <comment ref="F159" authorId="1">
      <text/>
    </comment>
    <comment ref="A161" authorId="1">
      <text>
        <r>
          <rPr>
            <sz val="11"/>
            <color theme="1"/>
            <rFont val="Calibri"/>
            <family val="2"/>
            <scheme val="minor"/>
          </rPr>
          <t>Introduzca un codigo UNSPSC</t>
        </r>
      </text>
    </comment>
    <comment ref="B161" authorId="1">
      <text>
        <r>
          <rPr>
            <sz val="11"/>
            <color theme="1"/>
            <rFont val="Calibri"/>
            <family val="2"/>
            <scheme val="minor"/>
          </rPr>
          <t>Descripción calculada automáticamente a partir de código del artículo</t>
        </r>
      </text>
    </comment>
    <comment ref="C161" authorId="1">
      <text>
        <r>
          <rPr>
            <sz val="11"/>
            <color theme="1"/>
            <rFont val="Calibri"/>
            <family val="2"/>
            <scheme val="minor"/>
          </rPr>
          <t>Seleccione un valor de la lista</t>
        </r>
      </text>
    </comment>
    <comment ref="D161" authorId="1">
      <text>
        <r>
          <rPr>
            <sz val="11"/>
            <color theme="1"/>
            <rFont val="Calibri"/>
            <family val="2"/>
            <scheme val="minor"/>
          </rPr>
          <t>Introduzca un número con dos decimales como máximo. Debe ser igual o mayor a la "Cantidad Real Consumida"</t>
        </r>
      </text>
    </comment>
    <comment ref="E161" authorId="1">
      <text>
        <r>
          <rPr>
            <sz val="11"/>
            <color theme="1"/>
            <rFont val="Calibri"/>
            <family val="2"/>
            <scheme val="minor"/>
          </rPr>
          <t>Introduzca un número con dos decimales como máximo</t>
        </r>
      </text>
    </comment>
    <comment ref="F161" authorId="1">
      <text>
        <r>
          <rPr>
            <sz val="11"/>
            <color theme="1"/>
            <rFont val="Calibri"/>
            <family val="2"/>
            <scheme val="minor"/>
          </rPr>
          <t>Monto calculado automáticamente por el sistema</t>
        </r>
      </text>
    </comment>
    <comment ref="A169" authorId="1">
      <text>
        <r>
          <rPr>
            <sz val="11"/>
            <color theme="1"/>
            <rFont val="Calibri"/>
            <family val="2"/>
            <scheme val="minor"/>
          </rPr>
          <t>Introducir un texto con el nombre o referencia de la contratación</t>
        </r>
      </text>
    </comment>
    <comment ref="B169" authorId="1">
      <text>
        <r>
          <rPr>
            <sz val="11"/>
            <color theme="1"/>
            <rFont val="Calibri"/>
            <family val="2"/>
            <scheme val="minor"/>
          </rPr>
          <t>Introduzca un texto con la finalidad de la contratación</t>
        </r>
      </text>
    </comment>
    <comment ref="C169" authorId="1">
      <text>
        <r>
          <rPr>
            <sz val="11"/>
            <color theme="1"/>
            <rFont val="Calibri"/>
            <family val="2"/>
            <scheme val="minor"/>
          </rPr>
          <t>Seleccionar un valor del listado</t>
        </r>
      </text>
    </comment>
    <comment ref="D169" authorId="1">
      <text>
        <r>
          <rPr>
            <sz val="11"/>
            <color theme="1"/>
            <rFont val="Calibri"/>
            <family val="2"/>
            <scheme val="minor"/>
          </rPr>
          <t>Seleccione el tipo de procedimiento</t>
        </r>
      </text>
    </comment>
    <comment ref="E169" authorId="1">
      <text>
        <r>
          <rPr>
            <sz val="11"/>
            <color theme="1"/>
            <rFont val="Calibri"/>
            <family val="2"/>
            <scheme val="minor"/>
          </rPr>
          <t>Seleccione un valor de la lista</t>
        </r>
      </text>
    </comment>
    <comment ref="F169" authorId="1">
      <text>
        <r>
          <rPr>
            <sz val="11"/>
            <color theme="1"/>
            <rFont val="Calibri"/>
            <family val="2"/>
            <scheme val="minor"/>
          </rPr>
          <t>Introduzca el código SNIP</t>
        </r>
      </text>
    </comment>
    <comment ref="C170" authorId="1">
      <text>
        <r>
          <rPr>
            <sz val="11"/>
            <color theme="1"/>
            <rFont val="Calibri"/>
            <family val="2"/>
            <scheme val="minor"/>
          </rPr>
          <t>Introduzca la fecha de inicio del proceso, en formato dd-mm-aaaa</t>
        </r>
      </text>
    </comment>
    <comment ref="F17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 authorId="1">
      <text/>
    </comment>
    <comment ref="C172" authorId="1">
      <text>
        <r>
          <rPr>
            <sz val="11"/>
            <color theme="1"/>
            <rFont val="Calibri"/>
            <family val="2"/>
            <scheme val="minor"/>
          </rPr>
          <t>Introduzca la fecha prevista de adjudicación, en formato dd-mm-aaaa</t>
        </r>
      </text>
    </comment>
    <comment ref="F172" authorId="1">
      <text/>
    </comment>
    <comment ref="F173" authorId="1">
      <text/>
    </comment>
    <comment ref="A175" authorId="1">
      <text>
        <r>
          <rPr>
            <sz val="11"/>
            <color theme="1"/>
            <rFont val="Calibri"/>
            <family val="2"/>
            <scheme val="minor"/>
          </rPr>
          <t>Introduzca un codigo UNSPSC</t>
        </r>
      </text>
    </comment>
    <comment ref="B175" authorId="1">
      <text>
        <r>
          <rPr>
            <sz val="11"/>
            <color theme="1"/>
            <rFont val="Calibri"/>
            <family val="2"/>
            <scheme val="minor"/>
          </rPr>
          <t>Descripción calculada automáticamente a partir de código del artículo</t>
        </r>
      </text>
    </comment>
    <comment ref="C175" authorId="1">
      <text>
        <r>
          <rPr>
            <sz val="11"/>
            <color theme="1"/>
            <rFont val="Calibri"/>
            <family val="2"/>
            <scheme val="minor"/>
          </rPr>
          <t>Seleccione un valor de la lista</t>
        </r>
      </text>
    </comment>
    <comment ref="D175" authorId="1">
      <text>
        <r>
          <rPr>
            <sz val="11"/>
            <color theme="1"/>
            <rFont val="Calibri"/>
            <family val="2"/>
            <scheme val="minor"/>
          </rPr>
          <t>Introduzca un número con dos decimales como máximo. Debe ser igual o mayor a la "Cantidad Real Consumida"</t>
        </r>
      </text>
    </comment>
    <comment ref="E175" authorId="1">
      <text>
        <r>
          <rPr>
            <sz val="11"/>
            <color theme="1"/>
            <rFont val="Calibri"/>
            <family val="2"/>
            <scheme val="minor"/>
          </rPr>
          <t>Introduzca un número con dos decimales como máximo</t>
        </r>
      </text>
    </comment>
    <comment ref="F175" authorId="1">
      <text>
        <r>
          <rPr>
            <sz val="11"/>
            <color theme="1"/>
            <rFont val="Calibri"/>
            <family val="2"/>
            <scheme val="minor"/>
          </rPr>
          <t>Monto calculado automáticamente por el sistema</t>
        </r>
      </text>
    </comment>
    <comment ref="A183" authorId="1">
      <text>
        <r>
          <rPr>
            <sz val="11"/>
            <color theme="1"/>
            <rFont val="Calibri"/>
            <family val="2"/>
            <scheme val="minor"/>
          </rPr>
          <t>Introducir un texto con el nombre o referencia de la contratación</t>
        </r>
      </text>
    </comment>
    <comment ref="B183" authorId="1">
      <text>
        <r>
          <rPr>
            <sz val="11"/>
            <color theme="1"/>
            <rFont val="Calibri"/>
            <family val="2"/>
            <scheme val="minor"/>
          </rPr>
          <t>Introduzca un texto con la finalidad de la contratación</t>
        </r>
      </text>
    </comment>
    <comment ref="C183" authorId="1">
      <text>
        <r>
          <rPr>
            <sz val="11"/>
            <color theme="1"/>
            <rFont val="Calibri"/>
            <family val="2"/>
            <scheme val="minor"/>
          </rPr>
          <t>Seleccionar un valor del listado</t>
        </r>
      </text>
    </comment>
    <comment ref="D183" authorId="1">
      <text>
        <r>
          <rPr>
            <sz val="11"/>
            <color theme="1"/>
            <rFont val="Calibri"/>
            <family val="2"/>
            <scheme val="minor"/>
          </rPr>
          <t>Seleccione el tipo de procedimiento</t>
        </r>
      </text>
    </comment>
    <comment ref="E183" authorId="1">
      <text>
        <r>
          <rPr>
            <sz val="11"/>
            <color theme="1"/>
            <rFont val="Calibri"/>
            <family val="2"/>
            <scheme val="minor"/>
          </rPr>
          <t>Seleccione un valor de la lista</t>
        </r>
      </text>
    </comment>
    <comment ref="F183" authorId="1">
      <text>
        <r>
          <rPr>
            <sz val="11"/>
            <color theme="1"/>
            <rFont val="Calibri"/>
            <family val="2"/>
            <scheme val="minor"/>
          </rPr>
          <t>Introduzca el código SNIP</t>
        </r>
      </text>
    </comment>
    <comment ref="C184" authorId="1">
      <text>
        <r>
          <rPr>
            <sz val="11"/>
            <color theme="1"/>
            <rFont val="Calibri"/>
            <family val="2"/>
            <scheme val="minor"/>
          </rPr>
          <t>Introduzca la fecha de inicio del proceso, en formato dd-mm-aaaa</t>
        </r>
      </text>
    </comment>
    <comment ref="F18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5" authorId="1">
      <text/>
    </comment>
    <comment ref="C186" authorId="1">
      <text>
        <r>
          <rPr>
            <sz val="11"/>
            <color theme="1"/>
            <rFont val="Calibri"/>
            <family val="2"/>
            <scheme val="minor"/>
          </rPr>
          <t>Introduzca la fecha prevista de adjudicación, en formato dd-mm-aaaa</t>
        </r>
      </text>
    </comment>
    <comment ref="F186" authorId="1">
      <text/>
    </comment>
    <comment ref="F187" authorId="1">
      <text/>
    </comment>
    <comment ref="A189" authorId="1">
      <text>
        <r>
          <rPr>
            <sz val="11"/>
            <color theme="1"/>
            <rFont val="Calibri"/>
            <family val="2"/>
            <scheme val="minor"/>
          </rPr>
          <t>Introduzca un codigo UNSPSC</t>
        </r>
      </text>
    </comment>
    <comment ref="B189" authorId="1">
      <text>
        <r>
          <rPr>
            <sz val="11"/>
            <color theme="1"/>
            <rFont val="Calibri"/>
            <family val="2"/>
            <scheme val="minor"/>
          </rPr>
          <t>Descripción calculada automáticamente a partir de código del artículo</t>
        </r>
      </text>
    </comment>
    <comment ref="C189" authorId="1">
      <text>
        <r>
          <rPr>
            <sz val="11"/>
            <color theme="1"/>
            <rFont val="Calibri"/>
            <family val="2"/>
            <scheme val="minor"/>
          </rPr>
          <t>Seleccione un valor de la lista</t>
        </r>
      </text>
    </comment>
    <comment ref="D189" authorId="1">
      <text>
        <r>
          <rPr>
            <sz val="11"/>
            <color theme="1"/>
            <rFont val="Calibri"/>
            <family val="2"/>
            <scheme val="minor"/>
          </rPr>
          <t>Introduzca un número con dos decimales como máximo. Debe ser igual o mayor a la "Cantidad Real Consumida"</t>
        </r>
      </text>
    </comment>
    <comment ref="E189" authorId="1">
      <text>
        <r>
          <rPr>
            <sz val="11"/>
            <color theme="1"/>
            <rFont val="Calibri"/>
            <family val="2"/>
            <scheme val="minor"/>
          </rPr>
          <t>Introduzca un número con dos decimales como máximo</t>
        </r>
      </text>
    </comment>
    <comment ref="F189" authorId="1">
      <text>
        <r>
          <rPr>
            <sz val="11"/>
            <color theme="1"/>
            <rFont val="Calibri"/>
            <family val="2"/>
            <scheme val="minor"/>
          </rPr>
          <t>Monto calculado automáticamente por el sistema</t>
        </r>
      </text>
    </comment>
    <comment ref="A194" authorId="1">
      <text>
        <r>
          <rPr>
            <sz val="11"/>
            <color theme="1"/>
            <rFont val="Calibri"/>
            <family val="2"/>
            <scheme val="minor"/>
          </rPr>
          <t>Introducir un texto con el nombre o referencia de la contratación</t>
        </r>
      </text>
    </comment>
    <comment ref="B194" authorId="1">
      <text>
        <r>
          <rPr>
            <sz val="11"/>
            <color theme="1"/>
            <rFont val="Calibri"/>
            <family val="2"/>
            <scheme val="minor"/>
          </rPr>
          <t>Introduzca un texto con la finalidad de la contratación</t>
        </r>
      </text>
    </comment>
    <comment ref="C194" authorId="1">
      <text>
        <r>
          <rPr>
            <sz val="11"/>
            <color theme="1"/>
            <rFont val="Calibri"/>
            <family val="2"/>
            <scheme val="minor"/>
          </rPr>
          <t>Seleccionar un valor del listado</t>
        </r>
      </text>
    </comment>
    <comment ref="D194" authorId="1">
      <text>
        <r>
          <rPr>
            <sz val="11"/>
            <color theme="1"/>
            <rFont val="Calibri"/>
            <family val="2"/>
            <scheme val="minor"/>
          </rPr>
          <t>Seleccione el tipo de procedimiento</t>
        </r>
      </text>
    </comment>
    <comment ref="E194" authorId="1">
      <text>
        <r>
          <rPr>
            <sz val="11"/>
            <color theme="1"/>
            <rFont val="Calibri"/>
            <family val="2"/>
            <scheme val="minor"/>
          </rPr>
          <t>Seleccione un valor de la lista</t>
        </r>
      </text>
    </comment>
    <comment ref="F194" authorId="1">
      <text>
        <r>
          <rPr>
            <sz val="11"/>
            <color theme="1"/>
            <rFont val="Calibri"/>
            <family val="2"/>
            <scheme val="minor"/>
          </rPr>
          <t>Introduzca el código SNIP</t>
        </r>
      </text>
    </comment>
    <comment ref="C195" authorId="1">
      <text>
        <r>
          <rPr>
            <sz val="11"/>
            <color theme="1"/>
            <rFont val="Calibri"/>
            <family val="2"/>
            <scheme val="minor"/>
          </rPr>
          <t>Introduzca la fecha de inicio del proceso, en formato dd-mm-aaaa</t>
        </r>
      </text>
    </comment>
    <comment ref="F19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6" authorId="1">
      <text/>
    </comment>
    <comment ref="C197" authorId="1">
      <text>
        <r>
          <rPr>
            <sz val="11"/>
            <color theme="1"/>
            <rFont val="Calibri"/>
            <family val="2"/>
            <scheme val="minor"/>
          </rPr>
          <t>Introduzca la fecha prevista de adjudicación, en formato dd-mm-aaaa</t>
        </r>
      </text>
    </comment>
    <comment ref="F197" authorId="1">
      <text/>
    </comment>
    <comment ref="F198" authorId="1">
      <text/>
    </comment>
    <comment ref="A200" authorId="1">
      <text>
        <r>
          <rPr>
            <sz val="11"/>
            <color theme="1"/>
            <rFont val="Calibri"/>
            <family val="2"/>
            <scheme val="minor"/>
          </rPr>
          <t>Introduzca un codigo UNSPSC</t>
        </r>
      </text>
    </comment>
    <comment ref="B200" authorId="1">
      <text>
        <r>
          <rPr>
            <sz val="11"/>
            <color theme="1"/>
            <rFont val="Calibri"/>
            <family val="2"/>
            <scheme val="minor"/>
          </rPr>
          <t>Descripción calculada automáticamente a partir de código del artículo</t>
        </r>
      </text>
    </comment>
    <comment ref="C200" authorId="1">
      <text>
        <r>
          <rPr>
            <sz val="11"/>
            <color theme="1"/>
            <rFont val="Calibri"/>
            <family val="2"/>
            <scheme val="minor"/>
          </rPr>
          <t>Seleccione un valor de la lista</t>
        </r>
      </text>
    </comment>
    <comment ref="D200" authorId="1">
      <text>
        <r>
          <rPr>
            <sz val="11"/>
            <color theme="1"/>
            <rFont val="Calibri"/>
            <family val="2"/>
            <scheme val="minor"/>
          </rPr>
          <t>Introduzca un número con dos decimales como máximo. Debe ser igual o mayor a la "Cantidad Real Consumida"</t>
        </r>
      </text>
    </comment>
    <comment ref="E200" authorId="1">
      <text>
        <r>
          <rPr>
            <sz val="11"/>
            <color theme="1"/>
            <rFont val="Calibri"/>
            <family val="2"/>
            <scheme val="minor"/>
          </rPr>
          <t>Introduzca un número con dos decimales como máximo</t>
        </r>
      </text>
    </comment>
    <comment ref="F200" authorId="1">
      <text>
        <r>
          <rPr>
            <sz val="11"/>
            <color theme="1"/>
            <rFont val="Calibri"/>
            <family val="2"/>
            <scheme val="minor"/>
          </rPr>
          <t>Monto calculado automáticamente por el sistema</t>
        </r>
      </text>
    </comment>
    <comment ref="A205" authorId="1">
      <text>
        <r>
          <rPr>
            <sz val="11"/>
            <color theme="1"/>
            <rFont val="Calibri"/>
            <family val="2"/>
            <scheme val="minor"/>
          </rPr>
          <t>Introducir un texto con el nombre o referencia de la contratación</t>
        </r>
      </text>
    </comment>
    <comment ref="B205" authorId="1">
      <text>
        <r>
          <rPr>
            <sz val="11"/>
            <color theme="1"/>
            <rFont val="Calibri"/>
            <family val="2"/>
            <scheme val="minor"/>
          </rPr>
          <t>Introduzca un texto con la finalidad de la contratación</t>
        </r>
      </text>
    </comment>
    <comment ref="C205" authorId="1">
      <text>
        <r>
          <rPr>
            <sz val="11"/>
            <color theme="1"/>
            <rFont val="Calibri"/>
            <family val="2"/>
            <scheme val="minor"/>
          </rPr>
          <t>Seleccionar un valor del listado</t>
        </r>
      </text>
    </comment>
    <comment ref="D205" authorId="1">
      <text>
        <r>
          <rPr>
            <sz val="11"/>
            <color theme="1"/>
            <rFont val="Calibri"/>
            <family val="2"/>
            <scheme val="minor"/>
          </rPr>
          <t>Seleccione el tipo de procedimiento</t>
        </r>
      </text>
    </comment>
    <comment ref="E205" authorId="1">
      <text>
        <r>
          <rPr>
            <sz val="11"/>
            <color theme="1"/>
            <rFont val="Calibri"/>
            <family val="2"/>
            <scheme val="minor"/>
          </rPr>
          <t>Seleccione un valor de la lista</t>
        </r>
      </text>
    </comment>
    <comment ref="F205" authorId="1">
      <text>
        <r>
          <rPr>
            <sz val="11"/>
            <color theme="1"/>
            <rFont val="Calibri"/>
            <family val="2"/>
            <scheme val="minor"/>
          </rPr>
          <t>Introduzca el código SNIP</t>
        </r>
      </text>
    </comment>
    <comment ref="C206" authorId="1">
      <text>
        <r>
          <rPr>
            <sz val="11"/>
            <color theme="1"/>
            <rFont val="Calibri"/>
            <family val="2"/>
            <scheme val="minor"/>
          </rPr>
          <t>Introduzca la fecha de inicio del proceso, en formato dd-mm-aaaa</t>
        </r>
      </text>
    </comment>
    <comment ref="F20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7" authorId="1">
      <text/>
    </comment>
    <comment ref="C208" authorId="1">
      <text>
        <r>
          <rPr>
            <sz val="11"/>
            <color theme="1"/>
            <rFont val="Calibri"/>
            <family val="2"/>
            <scheme val="minor"/>
          </rPr>
          <t>Introduzca la fecha prevista de adjudicación, en formato dd-mm-aaaa</t>
        </r>
      </text>
    </comment>
    <comment ref="F208" authorId="1">
      <text/>
    </comment>
    <comment ref="F209" authorId="1">
      <text/>
    </comment>
    <comment ref="A211" authorId="1">
      <text>
        <r>
          <rPr>
            <sz val="11"/>
            <color theme="1"/>
            <rFont val="Calibri"/>
            <family val="2"/>
            <scheme val="minor"/>
          </rPr>
          <t>Introduzca un codigo UNSPSC</t>
        </r>
      </text>
    </comment>
    <comment ref="B211" authorId="1">
      <text>
        <r>
          <rPr>
            <sz val="11"/>
            <color theme="1"/>
            <rFont val="Calibri"/>
            <family val="2"/>
            <scheme val="minor"/>
          </rPr>
          <t>Descripción calculada automáticamente a partir de código del artículo</t>
        </r>
      </text>
    </comment>
    <comment ref="C211" authorId="1">
      <text>
        <r>
          <rPr>
            <sz val="11"/>
            <color theme="1"/>
            <rFont val="Calibri"/>
            <family val="2"/>
            <scheme val="minor"/>
          </rPr>
          <t>Seleccione un valor de la lista</t>
        </r>
      </text>
    </comment>
    <comment ref="D211" authorId="1">
      <text>
        <r>
          <rPr>
            <sz val="11"/>
            <color theme="1"/>
            <rFont val="Calibri"/>
            <family val="2"/>
            <scheme val="minor"/>
          </rPr>
          <t>Introduzca un número con dos decimales como máximo. Debe ser igual o mayor a la "Cantidad Real Consumida"</t>
        </r>
      </text>
    </comment>
    <comment ref="E211" authorId="1">
      <text>
        <r>
          <rPr>
            <sz val="11"/>
            <color theme="1"/>
            <rFont val="Calibri"/>
            <family val="2"/>
            <scheme val="minor"/>
          </rPr>
          <t>Introduzca un número con dos decimales como máximo</t>
        </r>
      </text>
    </comment>
    <comment ref="F211" authorId="1">
      <text>
        <r>
          <rPr>
            <sz val="11"/>
            <color theme="1"/>
            <rFont val="Calibri"/>
            <family val="2"/>
            <scheme val="minor"/>
          </rPr>
          <t>Monto calculado automáticamente por el sistema</t>
        </r>
      </text>
    </comment>
    <comment ref="A216" authorId="1">
      <text>
        <r>
          <rPr>
            <sz val="11"/>
            <color theme="1"/>
            <rFont val="Calibri"/>
            <family val="2"/>
            <scheme val="minor"/>
          </rPr>
          <t>Introducir un texto con el nombre o referencia de la contratación</t>
        </r>
      </text>
    </comment>
    <comment ref="B216" authorId="1">
      <text>
        <r>
          <rPr>
            <sz val="11"/>
            <color theme="1"/>
            <rFont val="Calibri"/>
            <family val="2"/>
            <scheme val="minor"/>
          </rPr>
          <t>Introduzca un texto con la finalidad de la contratación</t>
        </r>
      </text>
    </comment>
    <comment ref="C216" authorId="1">
      <text>
        <r>
          <rPr>
            <sz val="11"/>
            <color theme="1"/>
            <rFont val="Calibri"/>
            <family val="2"/>
            <scheme val="minor"/>
          </rPr>
          <t>Seleccionar un valor del listado</t>
        </r>
      </text>
    </comment>
    <comment ref="D216" authorId="1">
      <text>
        <r>
          <rPr>
            <sz val="11"/>
            <color theme="1"/>
            <rFont val="Calibri"/>
            <family val="2"/>
            <scheme val="minor"/>
          </rPr>
          <t>Seleccione el tipo de procedimiento</t>
        </r>
      </text>
    </comment>
    <comment ref="E216" authorId="1">
      <text>
        <r>
          <rPr>
            <sz val="11"/>
            <color theme="1"/>
            <rFont val="Calibri"/>
            <family val="2"/>
            <scheme val="minor"/>
          </rPr>
          <t>Seleccione un valor de la lista</t>
        </r>
      </text>
    </comment>
    <comment ref="F216" authorId="1">
      <text>
        <r>
          <rPr>
            <sz val="11"/>
            <color theme="1"/>
            <rFont val="Calibri"/>
            <family val="2"/>
            <scheme val="minor"/>
          </rPr>
          <t>Introduzca el código SNIP</t>
        </r>
      </text>
    </comment>
    <comment ref="C217" authorId="1">
      <text>
        <r>
          <rPr>
            <sz val="11"/>
            <color theme="1"/>
            <rFont val="Calibri"/>
            <family val="2"/>
            <scheme val="minor"/>
          </rPr>
          <t>Introduzca la fecha de inicio del proceso, en formato dd-mm-aaaa</t>
        </r>
      </text>
    </comment>
    <comment ref="F2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8" authorId="1">
      <text/>
    </comment>
    <comment ref="C219" authorId="1">
      <text>
        <r>
          <rPr>
            <sz val="11"/>
            <color theme="1"/>
            <rFont val="Calibri"/>
            <family val="2"/>
            <scheme val="minor"/>
          </rPr>
          <t>Introduzca la fecha prevista de adjudicación, en formato dd-mm-aaaa</t>
        </r>
      </text>
    </comment>
    <comment ref="F219" authorId="1">
      <text/>
    </comment>
    <comment ref="F220" authorId="1">
      <text/>
    </comment>
    <comment ref="A222" authorId="1">
      <text>
        <r>
          <rPr>
            <sz val="11"/>
            <color theme="1"/>
            <rFont val="Calibri"/>
            <family val="2"/>
            <scheme val="minor"/>
          </rPr>
          <t>Introduzca un codigo UNSPSC</t>
        </r>
      </text>
    </comment>
    <comment ref="B222" authorId="1">
      <text>
        <r>
          <rPr>
            <sz val="11"/>
            <color theme="1"/>
            <rFont val="Calibri"/>
            <family val="2"/>
            <scheme val="minor"/>
          </rPr>
          <t>Descripción calculada automáticamente a partir de código del artículo</t>
        </r>
      </text>
    </comment>
    <comment ref="C222" authorId="1">
      <text>
        <r>
          <rPr>
            <sz val="11"/>
            <color theme="1"/>
            <rFont val="Calibri"/>
            <family val="2"/>
            <scheme val="minor"/>
          </rPr>
          <t>Seleccione un valor de la lista</t>
        </r>
      </text>
    </comment>
    <comment ref="D222" authorId="1">
      <text>
        <r>
          <rPr>
            <sz val="11"/>
            <color theme="1"/>
            <rFont val="Calibri"/>
            <family val="2"/>
            <scheme val="minor"/>
          </rPr>
          <t>Introduzca un número con dos decimales como máximo. Debe ser igual o mayor a la "Cantidad Real Consumida"</t>
        </r>
      </text>
    </comment>
    <comment ref="E222" authorId="1">
      <text>
        <r>
          <rPr>
            <sz val="11"/>
            <color theme="1"/>
            <rFont val="Calibri"/>
            <family val="2"/>
            <scheme val="minor"/>
          </rPr>
          <t>Introduzca un número con dos decimales como máximo</t>
        </r>
      </text>
    </comment>
    <comment ref="F222" authorId="1">
      <text>
        <r>
          <rPr>
            <sz val="11"/>
            <color theme="1"/>
            <rFont val="Calibri"/>
            <family val="2"/>
            <scheme val="minor"/>
          </rPr>
          <t>Monto calculado automáticamente por el sistema</t>
        </r>
      </text>
    </comment>
    <comment ref="A227" authorId="1">
      <text>
        <r>
          <rPr>
            <sz val="11"/>
            <color theme="1"/>
            <rFont val="Calibri"/>
            <family val="2"/>
            <scheme val="minor"/>
          </rPr>
          <t>Introducir un texto con el nombre o referencia de la contratación</t>
        </r>
      </text>
    </comment>
    <comment ref="B227" authorId="1">
      <text>
        <r>
          <rPr>
            <sz val="11"/>
            <color theme="1"/>
            <rFont val="Calibri"/>
            <family val="2"/>
            <scheme val="minor"/>
          </rPr>
          <t>Introduzca un texto con la finalidad de la contratación</t>
        </r>
      </text>
    </comment>
    <comment ref="C227" authorId="1">
      <text>
        <r>
          <rPr>
            <sz val="11"/>
            <color theme="1"/>
            <rFont val="Calibri"/>
            <family val="2"/>
            <scheme val="minor"/>
          </rPr>
          <t>Seleccionar un valor del listado</t>
        </r>
      </text>
    </comment>
    <comment ref="D227" authorId="1">
      <text>
        <r>
          <rPr>
            <sz val="11"/>
            <color theme="1"/>
            <rFont val="Calibri"/>
            <family val="2"/>
            <scheme val="minor"/>
          </rPr>
          <t>Seleccione el tipo de procedimiento</t>
        </r>
      </text>
    </comment>
    <comment ref="E227" authorId="1">
      <text>
        <r>
          <rPr>
            <sz val="11"/>
            <color theme="1"/>
            <rFont val="Calibri"/>
            <family val="2"/>
            <scheme val="minor"/>
          </rPr>
          <t>Seleccione un valor de la lista</t>
        </r>
      </text>
    </comment>
    <comment ref="F227" authorId="1">
      <text>
        <r>
          <rPr>
            <sz val="11"/>
            <color theme="1"/>
            <rFont val="Calibri"/>
            <family val="2"/>
            <scheme val="minor"/>
          </rPr>
          <t>Introduzca el código SNIP</t>
        </r>
      </text>
    </comment>
    <comment ref="C228" authorId="1">
      <text>
        <r>
          <rPr>
            <sz val="11"/>
            <color theme="1"/>
            <rFont val="Calibri"/>
            <family val="2"/>
            <scheme val="minor"/>
          </rPr>
          <t>Introduzca la fecha de inicio del proceso, en formato dd-mm-aaaa</t>
        </r>
      </text>
    </comment>
    <comment ref="F22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9" authorId="1">
      <text/>
    </comment>
    <comment ref="C230" authorId="1">
      <text>
        <r>
          <rPr>
            <sz val="11"/>
            <color theme="1"/>
            <rFont val="Calibri"/>
            <family val="2"/>
            <scheme val="minor"/>
          </rPr>
          <t>Introduzca la fecha prevista de adjudicación, en formato dd-mm-aaaa</t>
        </r>
      </text>
    </comment>
    <comment ref="F230" authorId="1">
      <text/>
    </comment>
    <comment ref="F231" authorId="1">
      <text/>
    </comment>
    <comment ref="A233" authorId="1">
      <text>
        <r>
          <rPr>
            <sz val="11"/>
            <color theme="1"/>
            <rFont val="Calibri"/>
            <family val="2"/>
            <scheme val="minor"/>
          </rPr>
          <t>Introduzca un codigo UNSPSC</t>
        </r>
      </text>
    </comment>
    <comment ref="B233" authorId="1">
      <text>
        <r>
          <rPr>
            <sz val="11"/>
            <color theme="1"/>
            <rFont val="Calibri"/>
            <family val="2"/>
            <scheme val="minor"/>
          </rPr>
          <t>Descripción calculada automáticamente a partir de código del artículo</t>
        </r>
      </text>
    </comment>
    <comment ref="C233" authorId="1">
      <text>
        <r>
          <rPr>
            <sz val="11"/>
            <color theme="1"/>
            <rFont val="Calibri"/>
            <family val="2"/>
            <scheme val="minor"/>
          </rPr>
          <t>Seleccione un valor de la lista</t>
        </r>
      </text>
    </comment>
    <comment ref="D233" authorId="1">
      <text>
        <r>
          <rPr>
            <sz val="11"/>
            <color theme="1"/>
            <rFont val="Calibri"/>
            <family val="2"/>
            <scheme val="minor"/>
          </rPr>
          <t>Introduzca un número con dos decimales como máximo. Debe ser igual o mayor a la "Cantidad Real Consumida"</t>
        </r>
      </text>
    </comment>
    <comment ref="E233" authorId="1">
      <text>
        <r>
          <rPr>
            <sz val="11"/>
            <color theme="1"/>
            <rFont val="Calibri"/>
            <family val="2"/>
            <scheme val="minor"/>
          </rPr>
          <t>Introduzca un número con dos decimales como máximo</t>
        </r>
      </text>
    </comment>
    <comment ref="F233" authorId="1">
      <text>
        <r>
          <rPr>
            <sz val="11"/>
            <color theme="1"/>
            <rFont val="Calibri"/>
            <family val="2"/>
            <scheme val="minor"/>
          </rPr>
          <t>Monto calculado automáticamente por el sistema</t>
        </r>
      </text>
    </comment>
    <comment ref="A238" authorId="1">
      <text>
        <r>
          <rPr>
            <sz val="11"/>
            <color theme="1"/>
            <rFont val="Calibri"/>
            <family val="2"/>
            <scheme val="minor"/>
          </rPr>
          <t>Introducir un texto con el nombre o referencia de la contratación</t>
        </r>
      </text>
    </comment>
    <comment ref="B238" authorId="1">
      <text>
        <r>
          <rPr>
            <sz val="11"/>
            <color theme="1"/>
            <rFont val="Calibri"/>
            <family val="2"/>
            <scheme val="minor"/>
          </rPr>
          <t>Introduzca un texto con la finalidad de la contratación</t>
        </r>
      </text>
    </comment>
    <comment ref="C238" authorId="1">
      <text>
        <r>
          <rPr>
            <sz val="11"/>
            <color theme="1"/>
            <rFont val="Calibri"/>
            <family val="2"/>
            <scheme val="minor"/>
          </rPr>
          <t>Seleccionar un valor del listado</t>
        </r>
      </text>
    </comment>
    <comment ref="D238" authorId="1">
      <text>
        <r>
          <rPr>
            <sz val="11"/>
            <color theme="1"/>
            <rFont val="Calibri"/>
            <family val="2"/>
            <scheme val="minor"/>
          </rPr>
          <t>Seleccione el tipo de procedimiento</t>
        </r>
      </text>
    </comment>
    <comment ref="E238" authorId="1">
      <text>
        <r>
          <rPr>
            <sz val="11"/>
            <color theme="1"/>
            <rFont val="Calibri"/>
            <family val="2"/>
            <scheme val="minor"/>
          </rPr>
          <t>Seleccione un valor de la lista</t>
        </r>
      </text>
    </comment>
    <comment ref="F238" authorId="1">
      <text>
        <r>
          <rPr>
            <sz val="11"/>
            <color theme="1"/>
            <rFont val="Calibri"/>
            <family val="2"/>
            <scheme val="minor"/>
          </rPr>
          <t>Introduzca el código SNIP</t>
        </r>
      </text>
    </comment>
    <comment ref="C239" authorId="1">
      <text>
        <r>
          <rPr>
            <sz val="11"/>
            <color theme="1"/>
            <rFont val="Calibri"/>
            <family val="2"/>
            <scheme val="minor"/>
          </rPr>
          <t>Introduzca la fecha de inicio del proceso, en formato dd-mm-aaaa</t>
        </r>
      </text>
    </comment>
    <comment ref="F23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0" authorId="1">
      <text/>
    </comment>
    <comment ref="C241" authorId="1">
      <text>
        <r>
          <rPr>
            <sz val="11"/>
            <color theme="1"/>
            <rFont val="Calibri"/>
            <family val="2"/>
            <scheme val="minor"/>
          </rPr>
          <t>Introduzca la fecha prevista de adjudicación, en formato dd-mm-aaaa</t>
        </r>
      </text>
    </comment>
    <comment ref="F241" authorId="1">
      <text/>
    </comment>
    <comment ref="F242" authorId="1">
      <text/>
    </comment>
    <comment ref="A244" authorId="1">
      <text>
        <r>
          <rPr>
            <sz val="11"/>
            <color theme="1"/>
            <rFont val="Calibri"/>
            <family val="2"/>
            <scheme val="minor"/>
          </rPr>
          <t>Introduzca un codigo UNSPSC</t>
        </r>
      </text>
    </comment>
    <comment ref="B244" authorId="1">
      <text>
        <r>
          <rPr>
            <sz val="11"/>
            <color theme="1"/>
            <rFont val="Calibri"/>
            <family val="2"/>
            <scheme val="minor"/>
          </rPr>
          <t>Descripción calculada automáticamente a partir de código del artículo</t>
        </r>
      </text>
    </comment>
    <comment ref="C244" authorId="1">
      <text>
        <r>
          <rPr>
            <sz val="11"/>
            <color theme="1"/>
            <rFont val="Calibri"/>
            <family val="2"/>
            <scheme val="minor"/>
          </rPr>
          <t>Seleccione un valor de la lista</t>
        </r>
      </text>
    </comment>
    <comment ref="D244" authorId="1">
      <text>
        <r>
          <rPr>
            <sz val="11"/>
            <color theme="1"/>
            <rFont val="Calibri"/>
            <family val="2"/>
            <scheme val="minor"/>
          </rPr>
          <t>Introduzca un número con dos decimales como máximo. Debe ser igual o mayor a la "Cantidad Real Consumida"</t>
        </r>
      </text>
    </comment>
    <comment ref="E244" authorId="1">
      <text>
        <r>
          <rPr>
            <sz val="11"/>
            <color theme="1"/>
            <rFont val="Calibri"/>
            <family val="2"/>
            <scheme val="minor"/>
          </rPr>
          <t>Introduzca un número con dos decimales como máximo</t>
        </r>
      </text>
    </comment>
    <comment ref="F244" authorId="1">
      <text>
        <r>
          <rPr>
            <sz val="11"/>
            <color theme="1"/>
            <rFont val="Calibri"/>
            <family val="2"/>
            <scheme val="minor"/>
          </rPr>
          <t>Monto calculado automáticamente por el sistema</t>
        </r>
      </text>
    </comment>
    <comment ref="A249" authorId="1">
      <text>
        <r>
          <rPr>
            <sz val="11"/>
            <color theme="1"/>
            <rFont val="Calibri"/>
            <family val="2"/>
            <scheme val="minor"/>
          </rPr>
          <t>Introducir un texto con el nombre o referencia de la contratación</t>
        </r>
      </text>
    </comment>
    <comment ref="B249" authorId="1">
      <text>
        <r>
          <rPr>
            <sz val="11"/>
            <color theme="1"/>
            <rFont val="Calibri"/>
            <family val="2"/>
            <scheme val="minor"/>
          </rPr>
          <t>Introduzca un texto con la finalidad de la contratación</t>
        </r>
      </text>
    </comment>
    <comment ref="C249" authorId="1">
      <text>
        <r>
          <rPr>
            <sz val="11"/>
            <color theme="1"/>
            <rFont val="Calibri"/>
            <family val="2"/>
            <scheme val="minor"/>
          </rPr>
          <t>Seleccionar un valor del listado</t>
        </r>
      </text>
    </comment>
    <comment ref="D249" authorId="1">
      <text>
        <r>
          <rPr>
            <sz val="11"/>
            <color theme="1"/>
            <rFont val="Calibri"/>
            <family val="2"/>
            <scheme val="minor"/>
          </rPr>
          <t>Seleccione el tipo de procedimiento</t>
        </r>
      </text>
    </comment>
    <comment ref="E249" authorId="1">
      <text>
        <r>
          <rPr>
            <sz val="11"/>
            <color theme="1"/>
            <rFont val="Calibri"/>
            <family val="2"/>
            <scheme val="minor"/>
          </rPr>
          <t>Seleccione un valor de la lista</t>
        </r>
      </text>
    </comment>
    <comment ref="F249" authorId="1">
      <text>
        <r>
          <rPr>
            <sz val="11"/>
            <color theme="1"/>
            <rFont val="Calibri"/>
            <family val="2"/>
            <scheme val="minor"/>
          </rPr>
          <t>Introduzca el código SNIP</t>
        </r>
      </text>
    </comment>
    <comment ref="C250" authorId="1">
      <text>
        <r>
          <rPr>
            <sz val="11"/>
            <color theme="1"/>
            <rFont val="Calibri"/>
            <family val="2"/>
            <scheme val="minor"/>
          </rPr>
          <t>Introduzca la fecha de inicio del proceso, en formato dd-mm-aaaa</t>
        </r>
      </text>
    </comment>
    <comment ref="F25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1" authorId="1">
      <text/>
    </comment>
    <comment ref="C252" authorId="1">
      <text>
        <r>
          <rPr>
            <sz val="11"/>
            <color theme="1"/>
            <rFont val="Calibri"/>
            <family val="2"/>
            <scheme val="minor"/>
          </rPr>
          <t>Introduzca la fecha prevista de adjudicación, en formato dd-mm-aaaa</t>
        </r>
      </text>
    </comment>
    <comment ref="F252" authorId="1">
      <text/>
    </comment>
    <comment ref="F253" authorId="1">
      <text/>
    </comment>
    <comment ref="A255" authorId="1">
      <text>
        <r>
          <rPr>
            <sz val="11"/>
            <color theme="1"/>
            <rFont val="Calibri"/>
            <family val="2"/>
            <scheme val="minor"/>
          </rPr>
          <t>Introduzca un codigo UNSPSC</t>
        </r>
      </text>
    </comment>
    <comment ref="B255" authorId="1">
      <text>
        <r>
          <rPr>
            <sz val="11"/>
            <color theme="1"/>
            <rFont val="Calibri"/>
            <family val="2"/>
            <scheme val="minor"/>
          </rPr>
          <t>Descripción calculada automáticamente a partir de código del artículo</t>
        </r>
      </text>
    </comment>
    <comment ref="C255" authorId="1">
      <text>
        <r>
          <rPr>
            <sz val="11"/>
            <color theme="1"/>
            <rFont val="Calibri"/>
            <family val="2"/>
            <scheme val="minor"/>
          </rPr>
          <t>Seleccione un valor de la lista</t>
        </r>
      </text>
    </comment>
    <comment ref="D255" authorId="1">
      <text>
        <r>
          <rPr>
            <sz val="11"/>
            <color theme="1"/>
            <rFont val="Calibri"/>
            <family val="2"/>
            <scheme val="minor"/>
          </rPr>
          <t>Introduzca un número con dos decimales como máximo. Debe ser igual o mayor a la "Cantidad Real Consumida"</t>
        </r>
      </text>
    </comment>
    <comment ref="E255" authorId="1">
      <text>
        <r>
          <rPr>
            <sz val="11"/>
            <color theme="1"/>
            <rFont val="Calibri"/>
            <family val="2"/>
            <scheme val="minor"/>
          </rPr>
          <t>Introduzca un número con dos decimales como máximo</t>
        </r>
      </text>
    </comment>
    <comment ref="F255" authorId="1">
      <text>
        <r>
          <rPr>
            <sz val="11"/>
            <color theme="1"/>
            <rFont val="Calibri"/>
            <family val="2"/>
            <scheme val="minor"/>
          </rPr>
          <t>Monto calculado automáticamente por el sistema</t>
        </r>
      </text>
    </comment>
    <comment ref="A260" authorId="1">
      <text>
        <r>
          <rPr>
            <sz val="11"/>
            <color theme="1"/>
            <rFont val="Calibri"/>
            <family val="2"/>
            <scheme val="minor"/>
          </rPr>
          <t>Introducir un texto con el nombre o referencia de la contratación</t>
        </r>
      </text>
    </comment>
    <comment ref="B260" authorId="1">
      <text>
        <r>
          <rPr>
            <sz val="11"/>
            <color theme="1"/>
            <rFont val="Calibri"/>
            <family val="2"/>
            <scheme val="minor"/>
          </rPr>
          <t>Introduzca un texto con la finalidad de la contratación</t>
        </r>
      </text>
    </comment>
    <comment ref="C260" authorId="1">
      <text>
        <r>
          <rPr>
            <sz val="11"/>
            <color theme="1"/>
            <rFont val="Calibri"/>
            <family val="2"/>
            <scheme val="minor"/>
          </rPr>
          <t>Seleccionar un valor del listado</t>
        </r>
      </text>
    </comment>
    <comment ref="D260" authorId="1">
      <text>
        <r>
          <rPr>
            <sz val="11"/>
            <color theme="1"/>
            <rFont val="Calibri"/>
            <family val="2"/>
            <scheme val="minor"/>
          </rPr>
          <t>Seleccione el tipo de procedimiento</t>
        </r>
      </text>
    </comment>
    <comment ref="E260" authorId="1">
      <text>
        <r>
          <rPr>
            <sz val="11"/>
            <color theme="1"/>
            <rFont val="Calibri"/>
            <family val="2"/>
            <scheme val="minor"/>
          </rPr>
          <t>Seleccione un valor de la lista</t>
        </r>
      </text>
    </comment>
    <comment ref="F260" authorId="1">
      <text>
        <r>
          <rPr>
            <sz val="11"/>
            <color theme="1"/>
            <rFont val="Calibri"/>
            <family val="2"/>
            <scheme val="minor"/>
          </rPr>
          <t>Introduzca el código SNIP</t>
        </r>
      </text>
    </comment>
    <comment ref="C261" authorId="1">
      <text>
        <r>
          <rPr>
            <sz val="11"/>
            <color theme="1"/>
            <rFont val="Calibri"/>
            <family val="2"/>
            <scheme val="minor"/>
          </rPr>
          <t>Introduzca la fecha de inicio del proceso, en formato dd-mm-aaaa</t>
        </r>
      </text>
    </comment>
    <comment ref="F26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2" authorId="1">
      <text/>
    </comment>
    <comment ref="C263" authorId="1">
      <text>
        <r>
          <rPr>
            <sz val="11"/>
            <color theme="1"/>
            <rFont val="Calibri"/>
            <family val="2"/>
            <scheme val="minor"/>
          </rPr>
          <t>Introduzca la fecha prevista de adjudicación, en formato dd-mm-aaaa</t>
        </r>
      </text>
    </comment>
    <comment ref="F263" authorId="1">
      <text/>
    </comment>
    <comment ref="F264" authorId="1">
      <text/>
    </comment>
    <comment ref="A266" authorId="1">
      <text>
        <r>
          <rPr>
            <sz val="11"/>
            <color theme="1"/>
            <rFont val="Calibri"/>
            <family val="2"/>
            <scheme val="minor"/>
          </rPr>
          <t>Introduzca un codigo UNSPSC</t>
        </r>
      </text>
    </comment>
    <comment ref="B266" authorId="1">
      <text>
        <r>
          <rPr>
            <sz val="11"/>
            <color theme="1"/>
            <rFont val="Calibri"/>
            <family val="2"/>
            <scheme val="minor"/>
          </rPr>
          <t>Descripción calculada automáticamente a partir de código del artículo</t>
        </r>
      </text>
    </comment>
    <comment ref="C266" authorId="1">
      <text>
        <r>
          <rPr>
            <sz val="11"/>
            <color theme="1"/>
            <rFont val="Calibri"/>
            <family val="2"/>
            <scheme val="minor"/>
          </rPr>
          <t>Seleccione un valor de la lista</t>
        </r>
      </text>
    </comment>
    <comment ref="D266" authorId="1">
      <text>
        <r>
          <rPr>
            <sz val="11"/>
            <color theme="1"/>
            <rFont val="Calibri"/>
            <family val="2"/>
            <scheme val="minor"/>
          </rPr>
          <t>Introduzca un número con dos decimales como máximo. Debe ser igual o mayor a la "Cantidad Real Consumida"</t>
        </r>
      </text>
    </comment>
    <comment ref="E266" authorId="1">
      <text>
        <r>
          <rPr>
            <sz val="11"/>
            <color theme="1"/>
            <rFont val="Calibri"/>
            <family val="2"/>
            <scheme val="minor"/>
          </rPr>
          <t>Introduzca un número con dos decimales como máximo</t>
        </r>
      </text>
    </comment>
    <comment ref="F266" authorId="1">
      <text>
        <r>
          <rPr>
            <sz val="11"/>
            <color theme="1"/>
            <rFont val="Calibri"/>
            <family val="2"/>
            <scheme val="minor"/>
          </rPr>
          <t>Monto calculado automáticamente por el sistema</t>
        </r>
      </text>
    </comment>
    <comment ref="A271" authorId="1">
      <text>
        <r>
          <rPr>
            <sz val="11"/>
            <color theme="1"/>
            <rFont val="Calibri"/>
            <family val="2"/>
            <scheme val="minor"/>
          </rPr>
          <t>Introducir un texto con el nombre o referencia de la contratación</t>
        </r>
      </text>
    </comment>
    <comment ref="B271" authorId="1">
      <text>
        <r>
          <rPr>
            <sz val="11"/>
            <color theme="1"/>
            <rFont val="Calibri"/>
            <family val="2"/>
            <scheme val="minor"/>
          </rPr>
          <t>Introduzca un texto con la finalidad de la contratación</t>
        </r>
      </text>
    </comment>
    <comment ref="C271" authorId="1">
      <text>
        <r>
          <rPr>
            <sz val="11"/>
            <color theme="1"/>
            <rFont val="Calibri"/>
            <family val="2"/>
            <scheme val="minor"/>
          </rPr>
          <t>Seleccionar un valor del listado</t>
        </r>
      </text>
    </comment>
    <comment ref="D271" authorId="1">
      <text>
        <r>
          <rPr>
            <sz val="11"/>
            <color theme="1"/>
            <rFont val="Calibri"/>
            <family val="2"/>
            <scheme val="minor"/>
          </rPr>
          <t>Seleccione el tipo de procedimiento</t>
        </r>
      </text>
    </comment>
    <comment ref="E271" authorId="1">
      <text>
        <r>
          <rPr>
            <sz val="11"/>
            <color theme="1"/>
            <rFont val="Calibri"/>
            <family val="2"/>
            <scheme val="minor"/>
          </rPr>
          <t>Seleccione un valor de la lista</t>
        </r>
      </text>
    </comment>
    <comment ref="F271" authorId="1">
      <text>
        <r>
          <rPr>
            <sz val="11"/>
            <color theme="1"/>
            <rFont val="Calibri"/>
            <family val="2"/>
            <scheme val="minor"/>
          </rPr>
          <t>Introduzca el código SNIP</t>
        </r>
      </text>
    </comment>
    <comment ref="C272" authorId="1">
      <text>
        <r>
          <rPr>
            <sz val="11"/>
            <color theme="1"/>
            <rFont val="Calibri"/>
            <family val="2"/>
            <scheme val="minor"/>
          </rPr>
          <t>Introduzca la fecha de inicio del proceso, en formato dd-mm-aaaa</t>
        </r>
      </text>
    </comment>
    <comment ref="F27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3" authorId="1">
      <text/>
    </comment>
    <comment ref="C274" authorId="1">
      <text>
        <r>
          <rPr>
            <sz val="11"/>
            <color theme="1"/>
            <rFont val="Calibri"/>
            <family val="2"/>
            <scheme val="minor"/>
          </rPr>
          <t>Introduzca la fecha prevista de adjudicación, en formato dd-mm-aaaa</t>
        </r>
      </text>
    </comment>
    <comment ref="F274" authorId="1">
      <text/>
    </comment>
    <comment ref="F275" authorId="1">
      <text/>
    </comment>
    <comment ref="A277" authorId="1">
      <text>
        <r>
          <rPr>
            <sz val="11"/>
            <color theme="1"/>
            <rFont val="Calibri"/>
            <family val="2"/>
            <scheme val="minor"/>
          </rPr>
          <t>Introduzca un codigo UNSPSC</t>
        </r>
      </text>
    </comment>
    <comment ref="B277" authorId="1">
      <text>
        <r>
          <rPr>
            <sz val="11"/>
            <color theme="1"/>
            <rFont val="Calibri"/>
            <family val="2"/>
            <scheme val="minor"/>
          </rPr>
          <t>Descripción calculada automáticamente a partir de código del artículo</t>
        </r>
      </text>
    </comment>
    <comment ref="C277" authorId="1">
      <text>
        <r>
          <rPr>
            <sz val="11"/>
            <color theme="1"/>
            <rFont val="Calibri"/>
            <family val="2"/>
            <scheme val="minor"/>
          </rPr>
          <t>Seleccione un valor de la lista</t>
        </r>
      </text>
    </comment>
    <comment ref="D277" authorId="1">
      <text>
        <r>
          <rPr>
            <sz val="11"/>
            <color theme="1"/>
            <rFont val="Calibri"/>
            <family val="2"/>
            <scheme val="minor"/>
          </rPr>
          <t>Introduzca un número con dos decimales como máximo. Debe ser igual o mayor a la "Cantidad Real Consumida"</t>
        </r>
      </text>
    </comment>
    <comment ref="E277" authorId="1">
      <text>
        <r>
          <rPr>
            <sz val="11"/>
            <color theme="1"/>
            <rFont val="Calibri"/>
            <family val="2"/>
            <scheme val="minor"/>
          </rPr>
          <t>Introduzca un número con dos decimales como máximo</t>
        </r>
      </text>
    </comment>
    <comment ref="F277" authorId="1">
      <text>
        <r>
          <rPr>
            <sz val="11"/>
            <color theme="1"/>
            <rFont val="Calibri"/>
            <family val="2"/>
            <scheme val="minor"/>
          </rPr>
          <t>Monto calculado automáticamente por el sistema</t>
        </r>
      </text>
    </comment>
    <comment ref="A286" authorId="1">
      <text>
        <r>
          <rPr>
            <sz val="11"/>
            <color theme="1"/>
            <rFont val="Calibri"/>
            <family val="2"/>
            <scheme val="minor"/>
          </rPr>
          <t>Introducir un texto con el nombre o referencia de la contratación</t>
        </r>
      </text>
    </comment>
    <comment ref="B286" authorId="1">
      <text>
        <r>
          <rPr>
            <sz val="11"/>
            <color theme="1"/>
            <rFont val="Calibri"/>
            <family val="2"/>
            <scheme val="minor"/>
          </rPr>
          <t>Introduzca un texto con la finalidad de la contratación</t>
        </r>
      </text>
    </comment>
    <comment ref="C286" authorId="1">
      <text>
        <r>
          <rPr>
            <sz val="11"/>
            <color theme="1"/>
            <rFont val="Calibri"/>
            <family val="2"/>
            <scheme val="minor"/>
          </rPr>
          <t>Seleccionar un valor del listado</t>
        </r>
      </text>
    </comment>
    <comment ref="D286" authorId="1">
      <text>
        <r>
          <rPr>
            <sz val="11"/>
            <color theme="1"/>
            <rFont val="Calibri"/>
            <family val="2"/>
            <scheme val="minor"/>
          </rPr>
          <t>Seleccione el tipo de procedimiento</t>
        </r>
      </text>
    </comment>
    <comment ref="E286" authorId="1">
      <text>
        <r>
          <rPr>
            <sz val="11"/>
            <color theme="1"/>
            <rFont val="Calibri"/>
            <family val="2"/>
            <scheme val="minor"/>
          </rPr>
          <t>Seleccione un valor de la lista</t>
        </r>
      </text>
    </comment>
    <comment ref="F286" authorId="1">
      <text>
        <r>
          <rPr>
            <sz val="11"/>
            <color theme="1"/>
            <rFont val="Calibri"/>
            <family val="2"/>
            <scheme val="minor"/>
          </rPr>
          <t>Introduzca el código SNIP</t>
        </r>
      </text>
    </comment>
    <comment ref="C287" authorId="1">
      <text>
        <r>
          <rPr>
            <sz val="11"/>
            <color theme="1"/>
            <rFont val="Calibri"/>
            <family val="2"/>
            <scheme val="minor"/>
          </rPr>
          <t>Introduzca la fecha de inicio del proceso, en formato dd-mm-aaaa</t>
        </r>
      </text>
    </comment>
    <comment ref="F28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8" authorId="1">
      <text/>
    </comment>
    <comment ref="C289" authorId="1">
      <text>
        <r>
          <rPr>
            <sz val="11"/>
            <color theme="1"/>
            <rFont val="Calibri"/>
            <family val="2"/>
            <scheme val="minor"/>
          </rPr>
          <t>Introduzca la fecha prevista de adjudicación, en formato dd-mm-aaaa</t>
        </r>
      </text>
    </comment>
    <comment ref="F289" authorId="1">
      <text/>
    </comment>
    <comment ref="F290" authorId="1">
      <text/>
    </comment>
    <comment ref="A292" authorId="1">
      <text>
        <r>
          <rPr>
            <sz val="11"/>
            <color theme="1"/>
            <rFont val="Calibri"/>
            <family val="2"/>
            <scheme val="minor"/>
          </rPr>
          <t>Introduzca un codigo UNSPSC</t>
        </r>
      </text>
    </comment>
    <comment ref="B292" authorId="1">
      <text>
        <r>
          <rPr>
            <sz val="11"/>
            <color theme="1"/>
            <rFont val="Calibri"/>
            <family val="2"/>
            <scheme val="minor"/>
          </rPr>
          <t>Descripción calculada automáticamente a partir de código del artículo</t>
        </r>
      </text>
    </comment>
    <comment ref="C292" authorId="1">
      <text>
        <r>
          <rPr>
            <sz val="11"/>
            <color theme="1"/>
            <rFont val="Calibri"/>
            <family val="2"/>
            <scheme val="minor"/>
          </rPr>
          <t>Seleccione un valor de la lista</t>
        </r>
      </text>
    </comment>
    <comment ref="D292" authorId="1">
      <text>
        <r>
          <rPr>
            <sz val="11"/>
            <color theme="1"/>
            <rFont val="Calibri"/>
            <family val="2"/>
            <scheme val="minor"/>
          </rPr>
          <t>Introduzca un número con dos decimales como máximo. Debe ser igual o mayor a la "Cantidad Real Consumida"</t>
        </r>
      </text>
    </comment>
    <comment ref="E292" authorId="1">
      <text>
        <r>
          <rPr>
            <sz val="11"/>
            <color theme="1"/>
            <rFont val="Calibri"/>
            <family val="2"/>
            <scheme val="minor"/>
          </rPr>
          <t>Introduzca un número con dos decimales como máximo</t>
        </r>
      </text>
    </comment>
    <comment ref="F292" authorId="1">
      <text>
        <r>
          <rPr>
            <sz val="11"/>
            <color theme="1"/>
            <rFont val="Calibri"/>
            <family val="2"/>
            <scheme val="minor"/>
          </rPr>
          <t>Monto calculado automáticamente por el sistema</t>
        </r>
      </text>
    </comment>
    <comment ref="A322" authorId="1">
      <text>
        <r>
          <rPr>
            <sz val="11"/>
            <color theme="1"/>
            <rFont val="Calibri"/>
            <family val="2"/>
            <scheme val="minor"/>
          </rPr>
          <t>Introducir un texto con el nombre o referencia de la contratación</t>
        </r>
      </text>
    </comment>
    <comment ref="B322" authorId="1">
      <text>
        <r>
          <rPr>
            <sz val="11"/>
            <color theme="1"/>
            <rFont val="Calibri"/>
            <family val="2"/>
            <scheme val="minor"/>
          </rPr>
          <t>Introduzca un texto con la finalidad de la contratación</t>
        </r>
      </text>
    </comment>
    <comment ref="C322" authorId="1">
      <text>
        <r>
          <rPr>
            <sz val="11"/>
            <color theme="1"/>
            <rFont val="Calibri"/>
            <family val="2"/>
            <scheme val="minor"/>
          </rPr>
          <t>Seleccionar un valor del listado</t>
        </r>
      </text>
    </comment>
    <comment ref="D322" authorId="1">
      <text>
        <r>
          <rPr>
            <sz val="11"/>
            <color theme="1"/>
            <rFont val="Calibri"/>
            <family val="2"/>
            <scheme val="minor"/>
          </rPr>
          <t>Seleccione el tipo de procedimiento</t>
        </r>
      </text>
    </comment>
    <comment ref="E322" authorId="1">
      <text>
        <r>
          <rPr>
            <sz val="11"/>
            <color theme="1"/>
            <rFont val="Calibri"/>
            <family val="2"/>
            <scheme val="minor"/>
          </rPr>
          <t>Seleccione un valor de la lista</t>
        </r>
      </text>
    </comment>
    <comment ref="F322" authorId="1">
      <text>
        <r>
          <rPr>
            <sz val="11"/>
            <color theme="1"/>
            <rFont val="Calibri"/>
            <family val="2"/>
            <scheme val="minor"/>
          </rPr>
          <t>Introduzca el código SNIP</t>
        </r>
      </text>
    </comment>
    <comment ref="C323" authorId="1">
      <text>
        <r>
          <rPr>
            <sz val="11"/>
            <color theme="1"/>
            <rFont val="Calibri"/>
            <family val="2"/>
            <scheme val="minor"/>
          </rPr>
          <t>Introduzca la fecha de inicio del proceso, en formato dd-mm-aaaa</t>
        </r>
      </text>
    </comment>
    <comment ref="F32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4" authorId="1">
      <text/>
    </comment>
    <comment ref="C325" authorId="1">
      <text>
        <r>
          <rPr>
            <sz val="11"/>
            <color theme="1"/>
            <rFont val="Calibri"/>
            <family val="2"/>
            <scheme val="minor"/>
          </rPr>
          <t>Introduzca la fecha prevista de adjudicación, en formato dd-mm-aaaa</t>
        </r>
      </text>
    </comment>
    <comment ref="F325" authorId="1">
      <text/>
    </comment>
    <comment ref="F326" authorId="1">
      <text/>
    </comment>
    <comment ref="A328" authorId="1">
      <text>
        <r>
          <rPr>
            <sz val="11"/>
            <color theme="1"/>
            <rFont val="Calibri"/>
            <family val="2"/>
            <scheme val="minor"/>
          </rPr>
          <t>Introduzca un codigo UNSPSC</t>
        </r>
      </text>
    </comment>
    <comment ref="B328" authorId="1">
      <text>
        <r>
          <rPr>
            <sz val="11"/>
            <color theme="1"/>
            <rFont val="Calibri"/>
            <family val="2"/>
            <scheme val="minor"/>
          </rPr>
          <t>Descripción calculada automáticamente a partir de código del artículo</t>
        </r>
      </text>
    </comment>
    <comment ref="C328" authorId="1">
      <text>
        <r>
          <rPr>
            <sz val="11"/>
            <color theme="1"/>
            <rFont val="Calibri"/>
            <family val="2"/>
            <scheme val="minor"/>
          </rPr>
          <t>Seleccione un valor de la lista</t>
        </r>
      </text>
    </comment>
    <comment ref="D328" authorId="1">
      <text>
        <r>
          <rPr>
            <sz val="11"/>
            <color theme="1"/>
            <rFont val="Calibri"/>
            <family val="2"/>
            <scheme val="minor"/>
          </rPr>
          <t>Introduzca un número con dos decimales como máximo. Debe ser igual o mayor a la "Cantidad Real Consumida"</t>
        </r>
      </text>
    </comment>
    <comment ref="E328" authorId="1">
      <text>
        <r>
          <rPr>
            <sz val="11"/>
            <color theme="1"/>
            <rFont val="Calibri"/>
            <family val="2"/>
            <scheme val="minor"/>
          </rPr>
          <t>Introduzca un número con dos decimales como máximo</t>
        </r>
      </text>
    </comment>
    <comment ref="F328" authorId="1">
      <text>
        <r>
          <rPr>
            <sz val="11"/>
            <color theme="1"/>
            <rFont val="Calibri"/>
            <family val="2"/>
            <scheme val="minor"/>
          </rPr>
          <t>Monto calculado automáticamente por el sistema</t>
        </r>
      </text>
    </comment>
    <comment ref="A333" authorId="1">
      <text>
        <r>
          <rPr>
            <sz val="11"/>
            <color theme="1"/>
            <rFont val="Calibri"/>
            <family val="2"/>
            <scheme val="minor"/>
          </rPr>
          <t>Introducir un texto con el nombre o referencia de la contratación</t>
        </r>
      </text>
    </comment>
    <comment ref="B333" authorId="1">
      <text>
        <r>
          <rPr>
            <sz val="11"/>
            <color theme="1"/>
            <rFont val="Calibri"/>
            <family val="2"/>
            <scheme val="minor"/>
          </rPr>
          <t>Introduzca un texto con la finalidad de la contratación</t>
        </r>
      </text>
    </comment>
    <comment ref="C333" authorId="1">
      <text>
        <r>
          <rPr>
            <sz val="11"/>
            <color theme="1"/>
            <rFont val="Calibri"/>
            <family val="2"/>
            <scheme val="minor"/>
          </rPr>
          <t>Seleccionar un valor del listado</t>
        </r>
      </text>
    </comment>
    <comment ref="D333" authorId="1">
      <text>
        <r>
          <rPr>
            <sz val="11"/>
            <color theme="1"/>
            <rFont val="Calibri"/>
            <family val="2"/>
            <scheme val="minor"/>
          </rPr>
          <t>Seleccione el tipo de procedimiento</t>
        </r>
      </text>
    </comment>
    <comment ref="E333" authorId="1">
      <text>
        <r>
          <rPr>
            <sz val="11"/>
            <color theme="1"/>
            <rFont val="Calibri"/>
            <family val="2"/>
            <scheme val="minor"/>
          </rPr>
          <t>Seleccione un valor de la lista</t>
        </r>
      </text>
    </comment>
    <comment ref="F333" authorId="1">
      <text>
        <r>
          <rPr>
            <sz val="11"/>
            <color theme="1"/>
            <rFont val="Calibri"/>
            <family val="2"/>
            <scheme val="minor"/>
          </rPr>
          <t>Introduzca el código SNIP</t>
        </r>
      </text>
    </comment>
    <comment ref="C334" authorId="1">
      <text>
        <r>
          <rPr>
            <sz val="11"/>
            <color theme="1"/>
            <rFont val="Calibri"/>
            <family val="2"/>
            <scheme val="minor"/>
          </rPr>
          <t>Introduzca la fecha de inicio del proceso, en formato dd-mm-aaaa</t>
        </r>
      </text>
    </comment>
    <comment ref="F33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5" authorId="1">
      <text/>
    </comment>
    <comment ref="C336" authorId="1">
      <text>
        <r>
          <rPr>
            <sz val="11"/>
            <color theme="1"/>
            <rFont val="Calibri"/>
            <family val="2"/>
            <scheme val="minor"/>
          </rPr>
          <t>Introduzca la fecha prevista de adjudicación, en formato dd-mm-aaaa</t>
        </r>
      </text>
    </comment>
    <comment ref="F336" authorId="1">
      <text/>
    </comment>
    <comment ref="F337" authorId="1">
      <text/>
    </comment>
    <comment ref="A339" authorId="1">
      <text>
        <r>
          <rPr>
            <sz val="11"/>
            <color theme="1"/>
            <rFont val="Calibri"/>
            <family val="2"/>
            <scheme val="minor"/>
          </rPr>
          <t>Introduzca un codigo UNSPSC</t>
        </r>
      </text>
    </comment>
    <comment ref="B339" authorId="1">
      <text>
        <r>
          <rPr>
            <sz val="11"/>
            <color theme="1"/>
            <rFont val="Calibri"/>
            <family val="2"/>
            <scheme val="minor"/>
          </rPr>
          <t>Descripción calculada automáticamente a partir de código del artículo</t>
        </r>
      </text>
    </comment>
    <comment ref="C339" authorId="1">
      <text>
        <r>
          <rPr>
            <sz val="11"/>
            <color theme="1"/>
            <rFont val="Calibri"/>
            <family val="2"/>
            <scheme val="minor"/>
          </rPr>
          <t>Seleccione un valor de la lista</t>
        </r>
      </text>
    </comment>
    <comment ref="D339" authorId="1">
      <text>
        <r>
          <rPr>
            <sz val="11"/>
            <color theme="1"/>
            <rFont val="Calibri"/>
            <family val="2"/>
            <scheme val="minor"/>
          </rPr>
          <t>Introduzca un número con dos decimales como máximo. Debe ser igual o mayor a la "Cantidad Real Consumida"</t>
        </r>
      </text>
    </comment>
    <comment ref="E339" authorId="1">
      <text>
        <r>
          <rPr>
            <sz val="11"/>
            <color theme="1"/>
            <rFont val="Calibri"/>
            <family val="2"/>
            <scheme val="minor"/>
          </rPr>
          <t>Introduzca un número con dos decimales como máximo</t>
        </r>
      </text>
    </comment>
    <comment ref="F339" authorId="1">
      <text>
        <r>
          <rPr>
            <sz val="11"/>
            <color theme="1"/>
            <rFont val="Calibri"/>
            <family val="2"/>
            <scheme val="minor"/>
          </rPr>
          <t>Monto calculado automáticamente por el sistema</t>
        </r>
      </text>
    </comment>
    <comment ref="A344" authorId="1">
      <text>
        <r>
          <rPr>
            <sz val="11"/>
            <color theme="1"/>
            <rFont val="Calibri"/>
            <family val="2"/>
            <scheme val="minor"/>
          </rPr>
          <t>Introducir un texto con el nombre o referencia de la contratación</t>
        </r>
      </text>
    </comment>
    <comment ref="B344" authorId="1">
      <text>
        <r>
          <rPr>
            <sz val="11"/>
            <color theme="1"/>
            <rFont val="Calibri"/>
            <family val="2"/>
            <scheme val="minor"/>
          </rPr>
          <t>Introduzca un texto con la finalidad de la contratación</t>
        </r>
      </text>
    </comment>
    <comment ref="C344" authorId="1">
      <text>
        <r>
          <rPr>
            <sz val="11"/>
            <color theme="1"/>
            <rFont val="Calibri"/>
            <family val="2"/>
            <scheme val="minor"/>
          </rPr>
          <t>Seleccionar un valor del listado</t>
        </r>
      </text>
    </comment>
    <comment ref="D344" authorId="1">
      <text>
        <r>
          <rPr>
            <sz val="11"/>
            <color theme="1"/>
            <rFont val="Calibri"/>
            <family val="2"/>
            <scheme val="minor"/>
          </rPr>
          <t>Seleccione el tipo de procedimiento</t>
        </r>
      </text>
    </comment>
    <comment ref="E344" authorId="1">
      <text>
        <r>
          <rPr>
            <sz val="11"/>
            <color theme="1"/>
            <rFont val="Calibri"/>
            <family val="2"/>
            <scheme val="minor"/>
          </rPr>
          <t>Seleccione un valor de la lista</t>
        </r>
      </text>
    </comment>
    <comment ref="F344" authorId="1">
      <text>
        <r>
          <rPr>
            <sz val="11"/>
            <color theme="1"/>
            <rFont val="Calibri"/>
            <family val="2"/>
            <scheme val="minor"/>
          </rPr>
          <t>Introduzca el código SNIP</t>
        </r>
      </text>
    </comment>
    <comment ref="C345" authorId="1">
      <text>
        <r>
          <rPr>
            <sz val="11"/>
            <color theme="1"/>
            <rFont val="Calibri"/>
            <family val="2"/>
            <scheme val="minor"/>
          </rPr>
          <t>Introduzca la fecha de inicio del proceso, en formato dd-mm-aaaa</t>
        </r>
      </text>
    </comment>
    <comment ref="F34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6" authorId="1">
      <text/>
    </comment>
    <comment ref="C347" authorId="1">
      <text>
        <r>
          <rPr>
            <sz val="11"/>
            <color theme="1"/>
            <rFont val="Calibri"/>
            <family val="2"/>
            <scheme val="minor"/>
          </rPr>
          <t>Introduzca la fecha prevista de adjudicación, en formato dd-mm-aaaa</t>
        </r>
      </text>
    </comment>
    <comment ref="F347" authorId="1">
      <text/>
    </comment>
    <comment ref="F348" authorId="1">
      <text/>
    </comment>
    <comment ref="A350" authorId="1">
      <text>
        <r>
          <rPr>
            <sz val="11"/>
            <color theme="1"/>
            <rFont val="Calibri"/>
            <family val="2"/>
            <scheme val="minor"/>
          </rPr>
          <t>Introduzca un codigo UNSPSC</t>
        </r>
      </text>
    </comment>
    <comment ref="B350" authorId="1">
      <text>
        <r>
          <rPr>
            <sz val="11"/>
            <color theme="1"/>
            <rFont val="Calibri"/>
            <family val="2"/>
            <scheme val="minor"/>
          </rPr>
          <t>Descripción calculada automáticamente a partir de código del artículo</t>
        </r>
      </text>
    </comment>
    <comment ref="C350" authorId="1">
      <text>
        <r>
          <rPr>
            <sz val="11"/>
            <color theme="1"/>
            <rFont val="Calibri"/>
            <family val="2"/>
            <scheme val="minor"/>
          </rPr>
          <t>Seleccione un valor de la lista</t>
        </r>
      </text>
    </comment>
    <comment ref="D350" authorId="1">
      <text>
        <r>
          <rPr>
            <sz val="11"/>
            <color theme="1"/>
            <rFont val="Calibri"/>
            <family val="2"/>
            <scheme val="minor"/>
          </rPr>
          <t>Introduzca un número con dos decimales como máximo. Debe ser igual o mayor a la "Cantidad Real Consumida"</t>
        </r>
      </text>
    </comment>
    <comment ref="E350" authorId="1">
      <text>
        <r>
          <rPr>
            <sz val="11"/>
            <color theme="1"/>
            <rFont val="Calibri"/>
            <family val="2"/>
            <scheme val="minor"/>
          </rPr>
          <t>Introduzca un número con dos decimales como máximo</t>
        </r>
      </text>
    </comment>
    <comment ref="F350" authorId="1">
      <text>
        <r>
          <rPr>
            <sz val="11"/>
            <color theme="1"/>
            <rFont val="Calibri"/>
            <family val="2"/>
            <scheme val="minor"/>
          </rPr>
          <t>Monto calculado automáticamente por el sistema</t>
        </r>
      </text>
    </comment>
    <comment ref="A355" authorId="1">
      <text>
        <r>
          <rPr>
            <sz val="11"/>
            <color theme="1"/>
            <rFont val="Calibri"/>
            <family val="2"/>
            <scheme val="minor"/>
          </rPr>
          <t>Introducir un texto con el nombre o referencia de la contratación</t>
        </r>
      </text>
    </comment>
    <comment ref="B355" authorId="1">
      <text>
        <r>
          <rPr>
            <sz val="11"/>
            <color theme="1"/>
            <rFont val="Calibri"/>
            <family val="2"/>
            <scheme val="minor"/>
          </rPr>
          <t>Introduzca un texto con la finalidad de la contratación</t>
        </r>
      </text>
    </comment>
    <comment ref="C355" authorId="1">
      <text>
        <r>
          <rPr>
            <sz val="11"/>
            <color theme="1"/>
            <rFont val="Calibri"/>
            <family val="2"/>
            <scheme val="minor"/>
          </rPr>
          <t>Seleccionar un valor del listado</t>
        </r>
      </text>
    </comment>
    <comment ref="D355" authorId="1">
      <text>
        <r>
          <rPr>
            <sz val="11"/>
            <color theme="1"/>
            <rFont val="Calibri"/>
            <family val="2"/>
            <scheme val="minor"/>
          </rPr>
          <t>Seleccione el tipo de procedimiento</t>
        </r>
      </text>
    </comment>
    <comment ref="E355" authorId="1">
      <text>
        <r>
          <rPr>
            <sz val="11"/>
            <color theme="1"/>
            <rFont val="Calibri"/>
            <family val="2"/>
            <scheme val="minor"/>
          </rPr>
          <t>Seleccione un valor de la lista</t>
        </r>
      </text>
    </comment>
    <comment ref="F355" authorId="1">
      <text>
        <r>
          <rPr>
            <sz val="11"/>
            <color theme="1"/>
            <rFont val="Calibri"/>
            <family val="2"/>
            <scheme val="minor"/>
          </rPr>
          <t>Introduzca el código SNIP</t>
        </r>
      </text>
    </comment>
    <comment ref="C356" authorId="1">
      <text>
        <r>
          <rPr>
            <sz val="11"/>
            <color theme="1"/>
            <rFont val="Calibri"/>
            <family val="2"/>
            <scheme val="minor"/>
          </rPr>
          <t>Introduzca la fecha de inicio del proceso, en formato dd-mm-aaaa</t>
        </r>
      </text>
    </comment>
    <comment ref="F35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7" authorId="1">
      <text/>
    </comment>
    <comment ref="C358" authorId="1">
      <text>
        <r>
          <rPr>
            <sz val="11"/>
            <color theme="1"/>
            <rFont val="Calibri"/>
            <family val="2"/>
            <scheme val="minor"/>
          </rPr>
          <t>Introduzca la fecha prevista de adjudicación, en formato dd-mm-aaaa</t>
        </r>
      </text>
    </comment>
    <comment ref="F358" authorId="1">
      <text/>
    </comment>
    <comment ref="F359" authorId="1">
      <text/>
    </comment>
    <comment ref="A361" authorId="1">
      <text>
        <r>
          <rPr>
            <sz val="11"/>
            <color theme="1"/>
            <rFont val="Calibri"/>
            <family val="2"/>
            <scheme val="minor"/>
          </rPr>
          <t>Introduzca un codigo UNSPSC</t>
        </r>
      </text>
    </comment>
    <comment ref="B361" authorId="1">
      <text>
        <r>
          <rPr>
            <sz val="11"/>
            <color theme="1"/>
            <rFont val="Calibri"/>
            <family val="2"/>
            <scheme val="minor"/>
          </rPr>
          <t>Descripción calculada automáticamente a partir de código del artículo</t>
        </r>
      </text>
    </comment>
    <comment ref="C361" authorId="1">
      <text>
        <r>
          <rPr>
            <sz val="11"/>
            <color theme="1"/>
            <rFont val="Calibri"/>
            <family val="2"/>
            <scheme val="minor"/>
          </rPr>
          <t>Seleccione un valor de la lista</t>
        </r>
      </text>
    </comment>
    <comment ref="D361" authorId="1">
      <text>
        <r>
          <rPr>
            <sz val="11"/>
            <color theme="1"/>
            <rFont val="Calibri"/>
            <family val="2"/>
            <scheme val="minor"/>
          </rPr>
          <t>Introduzca un número con dos decimales como máximo. Debe ser igual o mayor a la "Cantidad Real Consumida"</t>
        </r>
      </text>
    </comment>
    <comment ref="E361" authorId="1">
      <text>
        <r>
          <rPr>
            <sz val="11"/>
            <color theme="1"/>
            <rFont val="Calibri"/>
            <family val="2"/>
            <scheme val="minor"/>
          </rPr>
          <t>Introduzca un número con dos decimales como máximo</t>
        </r>
      </text>
    </comment>
    <comment ref="F361" authorId="1">
      <text>
        <r>
          <rPr>
            <sz val="11"/>
            <color theme="1"/>
            <rFont val="Calibri"/>
            <family val="2"/>
            <scheme val="minor"/>
          </rPr>
          <t>Monto calculado automáticamente por el sistema</t>
        </r>
      </text>
    </comment>
    <comment ref="A366" authorId="1">
      <text>
        <r>
          <rPr>
            <sz val="11"/>
            <color theme="1"/>
            <rFont val="Calibri"/>
            <family val="2"/>
            <scheme val="minor"/>
          </rPr>
          <t>Introducir un texto con el nombre o referencia de la contratación</t>
        </r>
      </text>
    </comment>
    <comment ref="B366" authorId="1">
      <text>
        <r>
          <rPr>
            <sz val="11"/>
            <color theme="1"/>
            <rFont val="Calibri"/>
            <family val="2"/>
            <scheme val="minor"/>
          </rPr>
          <t>Introduzca un texto con la finalidad de la contratación</t>
        </r>
      </text>
    </comment>
    <comment ref="C366" authorId="1">
      <text>
        <r>
          <rPr>
            <sz val="11"/>
            <color theme="1"/>
            <rFont val="Calibri"/>
            <family val="2"/>
            <scheme val="minor"/>
          </rPr>
          <t>Seleccionar un valor del listado</t>
        </r>
      </text>
    </comment>
    <comment ref="D366" authorId="1">
      <text>
        <r>
          <rPr>
            <sz val="11"/>
            <color theme="1"/>
            <rFont val="Calibri"/>
            <family val="2"/>
            <scheme val="minor"/>
          </rPr>
          <t>Seleccione el tipo de procedimiento</t>
        </r>
      </text>
    </comment>
    <comment ref="E366" authorId="1">
      <text>
        <r>
          <rPr>
            <sz val="11"/>
            <color theme="1"/>
            <rFont val="Calibri"/>
            <family val="2"/>
            <scheme val="minor"/>
          </rPr>
          <t>Seleccione un valor de la lista</t>
        </r>
      </text>
    </comment>
    <comment ref="F366" authorId="1">
      <text>
        <r>
          <rPr>
            <sz val="11"/>
            <color theme="1"/>
            <rFont val="Calibri"/>
            <family val="2"/>
            <scheme val="minor"/>
          </rPr>
          <t>Introduzca el código SNIP</t>
        </r>
      </text>
    </comment>
    <comment ref="C367" authorId="1">
      <text>
        <r>
          <rPr>
            <sz val="11"/>
            <color theme="1"/>
            <rFont val="Calibri"/>
            <family val="2"/>
            <scheme val="minor"/>
          </rPr>
          <t>Introduzca la fecha de inicio del proceso, en formato dd-mm-aaaa</t>
        </r>
      </text>
    </comment>
    <comment ref="F36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8" authorId="1">
      <text/>
    </comment>
    <comment ref="C369" authorId="1">
      <text>
        <r>
          <rPr>
            <sz val="11"/>
            <color theme="1"/>
            <rFont val="Calibri"/>
            <family val="2"/>
            <scheme val="minor"/>
          </rPr>
          <t>Introduzca la fecha prevista de adjudicación, en formato dd-mm-aaaa</t>
        </r>
      </text>
    </comment>
    <comment ref="F369" authorId="1">
      <text/>
    </comment>
    <comment ref="F370" authorId="1">
      <text/>
    </comment>
    <comment ref="A372" authorId="1">
      <text>
        <r>
          <rPr>
            <sz val="11"/>
            <color theme="1"/>
            <rFont val="Calibri"/>
            <family val="2"/>
            <scheme val="minor"/>
          </rPr>
          <t>Introduzca un codigo UNSPSC</t>
        </r>
      </text>
    </comment>
    <comment ref="B372" authorId="1">
      <text>
        <r>
          <rPr>
            <sz val="11"/>
            <color theme="1"/>
            <rFont val="Calibri"/>
            <family val="2"/>
            <scheme val="minor"/>
          </rPr>
          <t>Descripción calculada automáticamente a partir de código del artículo</t>
        </r>
      </text>
    </comment>
    <comment ref="C372" authorId="1">
      <text>
        <r>
          <rPr>
            <sz val="11"/>
            <color theme="1"/>
            <rFont val="Calibri"/>
            <family val="2"/>
            <scheme val="minor"/>
          </rPr>
          <t>Seleccione un valor de la lista</t>
        </r>
      </text>
    </comment>
    <comment ref="D372" authorId="1">
      <text>
        <r>
          <rPr>
            <sz val="11"/>
            <color theme="1"/>
            <rFont val="Calibri"/>
            <family val="2"/>
            <scheme val="minor"/>
          </rPr>
          <t>Introduzca un número con dos decimales como máximo. Debe ser igual o mayor a la "Cantidad Real Consumida"</t>
        </r>
      </text>
    </comment>
    <comment ref="E372" authorId="1">
      <text>
        <r>
          <rPr>
            <sz val="11"/>
            <color theme="1"/>
            <rFont val="Calibri"/>
            <family val="2"/>
            <scheme val="minor"/>
          </rPr>
          <t>Introduzca un número con dos decimales como máximo</t>
        </r>
      </text>
    </comment>
    <comment ref="F372" authorId="1">
      <text>
        <r>
          <rPr>
            <sz val="11"/>
            <color theme="1"/>
            <rFont val="Calibri"/>
            <family val="2"/>
            <scheme val="minor"/>
          </rPr>
          <t>Monto calculado automáticamente por el sistema</t>
        </r>
      </text>
    </comment>
    <comment ref="A377" authorId="1">
      <text>
        <r>
          <rPr>
            <sz val="11"/>
            <color theme="1"/>
            <rFont val="Calibri"/>
            <family val="2"/>
            <scheme val="minor"/>
          </rPr>
          <t>Introducir un texto con el nombre o referencia de la contratación</t>
        </r>
      </text>
    </comment>
    <comment ref="B377" authorId="1">
      <text>
        <r>
          <rPr>
            <sz val="11"/>
            <color theme="1"/>
            <rFont val="Calibri"/>
            <family val="2"/>
            <scheme val="minor"/>
          </rPr>
          <t>Introduzca un texto con la finalidad de la contratación</t>
        </r>
      </text>
    </comment>
    <comment ref="C377" authorId="1">
      <text>
        <r>
          <rPr>
            <sz val="11"/>
            <color theme="1"/>
            <rFont val="Calibri"/>
            <family val="2"/>
            <scheme val="minor"/>
          </rPr>
          <t>Seleccionar un valor del listado</t>
        </r>
      </text>
    </comment>
    <comment ref="D377" authorId="1">
      <text>
        <r>
          <rPr>
            <sz val="11"/>
            <color theme="1"/>
            <rFont val="Calibri"/>
            <family val="2"/>
            <scheme val="minor"/>
          </rPr>
          <t>Seleccione el tipo de procedimiento</t>
        </r>
      </text>
    </comment>
    <comment ref="E377" authorId="1">
      <text>
        <r>
          <rPr>
            <sz val="11"/>
            <color theme="1"/>
            <rFont val="Calibri"/>
            <family val="2"/>
            <scheme val="minor"/>
          </rPr>
          <t>Seleccione un valor de la lista</t>
        </r>
      </text>
    </comment>
    <comment ref="F377" authorId="1">
      <text>
        <r>
          <rPr>
            <sz val="11"/>
            <color theme="1"/>
            <rFont val="Calibri"/>
            <family val="2"/>
            <scheme val="minor"/>
          </rPr>
          <t>Introduzca el código SNIP</t>
        </r>
      </text>
    </comment>
    <comment ref="C378" authorId="1">
      <text>
        <r>
          <rPr>
            <sz val="11"/>
            <color theme="1"/>
            <rFont val="Calibri"/>
            <family val="2"/>
            <scheme val="minor"/>
          </rPr>
          <t>Introduzca la fecha de inicio del proceso, en formato dd-mm-aaaa</t>
        </r>
      </text>
    </comment>
    <comment ref="F37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9" authorId="1">
      <text/>
    </comment>
    <comment ref="C380" authorId="1">
      <text>
        <r>
          <rPr>
            <sz val="11"/>
            <color theme="1"/>
            <rFont val="Calibri"/>
            <family val="2"/>
            <scheme val="minor"/>
          </rPr>
          <t>Introduzca la fecha prevista de adjudicación, en formato dd-mm-aaaa</t>
        </r>
      </text>
    </comment>
    <comment ref="F380" authorId="1">
      <text/>
    </comment>
    <comment ref="F381" authorId="1">
      <text/>
    </comment>
    <comment ref="A383" authorId="1">
      <text>
        <r>
          <rPr>
            <sz val="11"/>
            <color theme="1"/>
            <rFont val="Calibri"/>
            <family val="2"/>
            <scheme val="minor"/>
          </rPr>
          <t>Introduzca un codigo UNSPSC</t>
        </r>
      </text>
    </comment>
    <comment ref="B383" authorId="1">
      <text>
        <r>
          <rPr>
            <sz val="11"/>
            <color theme="1"/>
            <rFont val="Calibri"/>
            <family val="2"/>
            <scheme val="minor"/>
          </rPr>
          <t>Descripción calculada automáticamente a partir de código del artículo</t>
        </r>
      </text>
    </comment>
    <comment ref="C383" authorId="1">
      <text>
        <r>
          <rPr>
            <sz val="11"/>
            <color theme="1"/>
            <rFont val="Calibri"/>
            <family val="2"/>
            <scheme val="minor"/>
          </rPr>
          <t>Seleccione un valor de la lista</t>
        </r>
      </text>
    </comment>
    <comment ref="D383" authorId="1">
      <text>
        <r>
          <rPr>
            <sz val="11"/>
            <color theme="1"/>
            <rFont val="Calibri"/>
            <family val="2"/>
            <scheme val="minor"/>
          </rPr>
          <t>Introduzca un número con dos decimales como máximo. Debe ser igual o mayor a la "Cantidad Real Consumida"</t>
        </r>
      </text>
    </comment>
    <comment ref="E383" authorId="1">
      <text>
        <r>
          <rPr>
            <sz val="11"/>
            <color theme="1"/>
            <rFont val="Calibri"/>
            <family val="2"/>
            <scheme val="minor"/>
          </rPr>
          <t>Introduzca un número con dos decimales como máximo</t>
        </r>
      </text>
    </comment>
    <comment ref="F383" authorId="1">
      <text>
        <r>
          <rPr>
            <sz val="11"/>
            <color theme="1"/>
            <rFont val="Calibri"/>
            <family val="2"/>
            <scheme val="minor"/>
          </rPr>
          <t>Monto calculado automáticamente por el sistema</t>
        </r>
      </text>
    </comment>
    <comment ref="A391" authorId="1">
      <text>
        <r>
          <rPr>
            <sz val="11"/>
            <color theme="1"/>
            <rFont val="Calibri"/>
            <family val="2"/>
            <scheme val="minor"/>
          </rPr>
          <t>Introducir un texto con el nombre o referencia de la contratación</t>
        </r>
      </text>
    </comment>
    <comment ref="B391" authorId="1">
      <text>
        <r>
          <rPr>
            <sz val="11"/>
            <color theme="1"/>
            <rFont val="Calibri"/>
            <family val="2"/>
            <scheme val="minor"/>
          </rPr>
          <t>Introduzca un texto con la finalidad de la contratación</t>
        </r>
      </text>
    </comment>
    <comment ref="C391" authorId="1">
      <text>
        <r>
          <rPr>
            <sz val="11"/>
            <color theme="1"/>
            <rFont val="Calibri"/>
            <family val="2"/>
            <scheme val="minor"/>
          </rPr>
          <t>Seleccionar un valor del listado</t>
        </r>
      </text>
    </comment>
    <comment ref="D391" authorId="1">
      <text>
        <r>
          <rPr>
            <sz val="11"/>
            <color theme="1"/>
            <rFont val="Calibri"/>
            <family val="2"/>
            <scheme val="minor"/>
          </rPr>
          <t>Seleccione el tipo de procedimiento</t>
        </r>
      </text>
    </comment>
    <comment ref="E391" authorId="1">
      <text>
        <r>
          <rPr>
            <sz val="11"/>
            <color theme="1"/>
            <rFont val="Calibri"/>
            <family val="2"/>
            <scheme val="minor"/>
          </rPr>
          <t>Seleccione un valor de la lista</t>
        </r>
      </text>
    </comment>
    <comment ref="F391" authorId="1">
      <text>
        <r>
          <rPr>
            <sz val="11"/>
            <color theme="1"/>
            <rFont val="Calibri"/>
            <family val="2"/>
            <scheme val="minor"/>
          </rPr>
          <t>Introduzca el código SNIP</t>
        </r>
      </text>
    </comment>
    <comment ref="C392" authorId="1">
      <text>
        <r>
          <rPr>
            <sz val="11"/>
            <color theme="1"/>
            <rFont val="Calibri"/>
            <family val="2"/>
            <scheme val="minor"/>
          </rPr>
          <t>Introduzca la fecha de inicio del proceso, en formato dd-mm-aaaa</t>
        </r>
      </text>
    </comment>
    <comment ref="F39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1">
      <text/>
    </comment>
    <comment ref="C394" authorId="1">
      <text>
        <r>
          <rPr>
            <sz val="11"/>
            <color theme="1"/>
            <rFont val="Calibri"/>
            <family val="2"/>
            <scheme val="minor"/>
          </rPr>
          <t>Introduzca la fecha prevista de adjudicación, en formato dd-mm-aaaa</t>
        </r>
      </text>
    </comment>
    <comment ref="F394" authorId="1">
      <text/>
    </comment>
    <comment ref="F395" authorId="1">
      <text/>
    </comment>
    <comment ref="A397" authorId="1">
      <text>
        <r>
          <rPr>
            <sz val="11"/>
            <color theme="1"/>
            <rFont val="Calibri"/>
            <family val="2"/>
            <scheme val="minor"/>
          </rPr>
          <t>Introduzca un codigo UNSPSC</t>
        </r>
      </text>
    </comment>
    <comment ref="B397" authorId="1">
      <text>
        <r>
          <rPr>
            <sz val="11"/>
            <color theme="1"/>
            <rFont val="Calibri"/>
            <family val="2"/>
            <scheme val="minor"/>
          </rPr>
          <t>Descripción calculada automáticamente a partir de código del artículo</t>
        </r>
      </text>
    </comment>
    <comment ref="C397" authorId="1">
      <text>
        <r>
          <rPr>
            <sz val="11"/>
            <color theme="1"/>
            <rFont val="Calibri"/>
            <family val="2"/>
            <scheme val="minor"/>
          </rPr>
          <t>Seleccione un valor de la lista</t>
        </r>
      </text>
    </comment>
    <comment ref="D397" authorId="1">
      <text>
        <r>
          <rPr>
            <sz val="11"/>
            <color theme="1"/>
            <rFont val="Calibri"/>
            <family val="2"/>
            <scheme val="minor"/>
          </rPr>
          <t>Introduzca un número con dos decimales como máximo. Debe ser igual o mayor a la "Cantidad Real Consumida"</t>
        </r>
      </text>
    </comment>
    <comment ref="E397" authorId="1">
      <text>
        <r>
          <rPr>
            <sz val="11"/>
            <color theme="1"/>
            <rFont val="Calibri"/>
            <family val="2"/>
            <scheme val="minor"/>
          </rPr>
          <t>Introduzca un número con dos decimales como máximo</t>
        </r>
      </text>
    </comment>
    <comment ref="F397" authorId="1">
      <text>
        <r>
          <rPr>
            <sz val="11"/>
            <color theme="1"/>
            <rFont val="Calibri"/>
            <family val="2"/>
            <scheme val="minor"/>
          </rPr>
          <t>Monto calculado automáticamente por el sistema</t>
        </r>
      </text>
    </comment>
    <comment ref="A404" authorId="1">
      <text>
        <r>
          <rPr>
            <sz val="11"/>
            <color theme="1"/>
            <rFont val="Calibri"/>
            <family val="2"/>
            <scheme val="minor"/>
          </rPr>
          <t>Introducir un texto con el nombre o referencia de la contratación</t>
        </r>
      </text>
    </comment>
    <comment ref="B404" authorId="1">
      <text>
        <r>
          <rPr>
            <sz val="11"/>
            <color theme="1"/>
            <rFont val="Calibri"/>
            <family val="2"/>
            <scheme val="minor"/>
          </rPr>
          <t>Introduzca un texto con la finalidad de la contratación</t>
        </r>
      </text>
    </comment>
    <comment ref="C404" authorId="1">
      <text>
        <r>
          <rPr>
            <sz val="11"/>
            <color theme="1"/>
            <rFont val="Calibri"/>
            <family val="2"/>
            <scheme val="minor"/>
          </rPr>
          <t>Seleccionar un valor del listado</t>
        </r>
      </text>
    </comment>
    <comment ref="D404" authorId="1">
      <text>
        <r>
          <rPr>
            <sz val="11"/>
            <color theme="1"/>
            <rFont val="Calibri"/>
            <family val="2"/>
            <scheme val="minor"/>
          </rPr>
          <t>Seleccione el tipo de procedimiento</t>
        </r>
      </text>
    </comment>
    <comment ref="E404" authorId="1">
      <text>
        <r>
          <rPr>
            <sz val="11"/>
            <color theme="1"/>
            <rFont val="Calibri"/>
            <family val="2"/>
            <scheme val="minor"/>
          </rPr>
          <t>Seleccione un valor de la lista</t>
        </r>
      </text>
    </comment>
    <comment ref="F404" authorId="1">
      <text>
        <r>
          <rPr>
            <sz val="11"/>
            <color theme="1"/>
            <rFont val="Calibri"/>
            <family val="2"/>
            <scheme val="minor"/>
          </rPr>
          <t>Introduzca el código SNIP</t>
        </r>
      </text>
    </comment>
    <comment ref="C405" authorId="1">
      <text>
        <r>
          <rPr>
            <sz val="11"/>
            <color theme="1"/>
            <rFont val="Calibri"/>
            <family val="2"/>
            <scheme val="minor"/>
          </rPr>
          <t>Introduzca la fecha de inicio del proceso, en formato dd-mm-aaaa</t>
        </r>
      </text>
    </comment>
    <comment ref="F40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6" authorId="1">
      <text/>
    </comment>
    <comment ref="C407" authorId="1">
      <text>
        <r>
          <rPr>
            <sz val="11"/>
            <color theme="1"/>
            <rFont val="Calibri"/>
            <family val="2"/>
            <scheme val="minor"/>
          </rPr>
          <t>Introduzca la fecha prevista de adjudicación, en formato dd-mm-aaaa</t>
        </r>
      </text>
    </comment>
    <comment ref="F407" authorId="1">
      <text/>
    </comment>
    <comment ref="F408" authorId="1">
      <text/>
    </comment>
    <comment ref="A410" authorId="1">
      <text>
        <r>
          <rPr>
            <sz val="11"/>
            <color theme="1"/>
            <rFont val="Calibri"/>
            <family val="2"/>
            <scheme val="minor"/>
          </rPr>
          <t>Introduzca un codigo UNSPSC</t>
        </r>
      </text>
    </comment>
    <comment ref="B410" authorId="1">
      <text>
        <r>
          <rPr>
            <sz val="11"/>
            <color theme="1"/>
            <rFont val="Calibri"/>
            <family val="2"/>
            <scheme val="minor"/>
          </rPr>
          <t>Descripción calculada automáticamente a partir de código del artículo</t>
        </r>
      </text>
    </comment>
    <comment ref="C410" authorId="1">
      <text>
        <r>
          <rPr>
            <sz val="11"/>
            <color theme="1"/>
            <rFont val="Calibri"/>
            <family val="2"/>
            <scheme val="minor"/>
          </rPr>
          <t>Seleccione un valor de la lista</t>
        </r>
      </text>
    </comment>
    <comment ref="D410" authorId="1">
      <text>
        <r>
          <rPr>
            <sz val="11"/>
            <color theme="1"/>
            <rFont val="Calibri"/>
            <family val="2"/>
            <scheme val="minor"/>
          </rPr>
          <t>Introduzca un número con dos decimales como máximo. Debe ser igual o mayor a la "Cantidad Real Consumida"</t>
        </r>
      </text>
    </comment>
    <comment ref="E410" authorId="1">
      <text>
        <r>
          <rPr>
            <sz val="11"/>
            <color theme="1"/>
            <rFont val="Calibri"/>
            <family val="2"/>
            <scheme val="minor"/>
          </rPr>
          <t>Introduzca un número con dos decimales como máximo</t>
        </r>
      </text>
    </comment>
    <comment ref="F410" authorId="1">
      <text>
        <r>
          <rPr>
            <sz val="11"/>
            <color theme="1"/>
            <rFont val="Calibri"/>
            <family val="2"/>
            <scheme val="minor"/>
          </rPr>
          <t>Monto calculado automáticamente por el sistema</t>
        </r>
      </text>
    </comment>
    <comment ref="A417" authorId="1">
      <text>
        <r>
          <rPr>
            <sz val="11"/>
            <color theme="1"/>
            <rFont val="Calibri"/>
            <family val="2"/>
            <scheme val="minor"/>
          </rPr>
          <t>Introducir un texto con el nombre o referencia de la contratación</t>
        </r>
      </text>
    </comment>
    <comment ref="B417" authorId="1">
      <text>
        <r>
          <rPr>
            <sz val="11"/>
            <color theme="1"/>
            <rFont val="Calibri"/>
            <family val="2"/>
            <scheme val="minor"/>
          </rPr>
          <t>Introduzca un texto con la finalidad de la contratación</t>
        </r>
      </text>
    </comment>
    <comment ref="C417" authorId="1">
      <text>
        <r>
          <rPr>
            <sz val="11"/>
            <color theme="1"/>
            <rFont val="Calibri"/>
            <family val="2"/>
            <scheme val="minor"/>
          </rPr>
          <t>Seleccionar un valor del listado</t>
        </r>
      </text>
    </comment>
    <comment ref="D417" authorId="1">
      <text>
        <r>
          <rPr>
            <sz val="11"/>
            <color theme="1"/>
            <rFont val="Calibri"/>
            <family val="2"/>
            <scheme val="minor"/>
          </rPr>
          <t>Seleccione el tipo de procedimiento</t>
        </r>
      </text>
    </comment>
    <comment ref="E417" authorId="1">
      <text>
        <r>
          <rPr>
            <sz val="11"/>
            <color theme="1"/>
            <rFont val="Calibri"/>
            <family val="2"/>
            <scheme val="minor"/>
          </rPr>
          <t>Seleccione un valor de la lista</t>
        </r>
      </text>
    </comment>
    <comment ref="F417" authorId="1">
      <text>
        <r>
          <rPr>
            <sz val="11"/>
            <color theme="1"/>
            <rFont val="Calibri"/>
            <family val="2"/>
            <scheme val="minor"/>
          </rPr>
          <t>Introduzca el código SNIP</t>
        </r>
      </text>
    </comment>
    <comment ref="C418" authorId="1">
      <text>
        <r>
          <rPr>
            <sz val="11"/>
            <color theme="1"/>
            <rFont val="Calibri"/>
            <family val="2"/>
            <scheme val="minor"/>
          </rPr>
          <t>Introduzca la fecha de inicio del proceso, en formato dd-mm-aaaa</t>
        </r>
      </text>
    </comment>
    <comment ref="F41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9" authorId="1">
      <text/>
    </comment>
    <comment ref="C420" authorId="1">
      <text>
        <r>
          <rPr>
            <sz val="11"/>
            <color theme="1"/>
            <rFont val="Calibri"/>
            <family val="2"/>
            <scheme val="minor"/>
          </rPr>
          <t>Introduzca la fecha prevista de adjudicación, en formato dd-mm-aaaa</t>
        </r>
      </text>
    </comment>
    <comment ref="F420" authorId="1">
      <text/>
    </comment>
    <comment ref="F421" authorId="1">
      <text/>
    </comment>
    <comment ref="A423" authorId="1">
      <text>
        <r>
          <rPr>
            <sz val="11"/>
            <color theme="1"/>
            <rFont val="Calibri"/>
            <family val="2"/>
            <scheme val="minor"/>
          </rPr>
          <t>Introduzca un codigo UNSPSC</t>
        </r>
      </text>
    </comment>
    <comment ref="B423" authorId="1">
      <text>
        <r>
          <rPr>
            <sz val="11"/>
            <color theme="1"/>
            <rFont val="Calibri"/>
            <family val="2"/>
            <scheme val="minor"/>
          </rPr>
          <t>Descripción calculada automáticamente a partir de código del artículo</t>
        </r>
      </text>
    </comment>
    <comment ref="C423" authorId="1">
      <text>
        <r>
          <rPr>
            <sz val="11"/>
            <color theme="1"/>
            <rFont val="Calibri"/>
            <family val="2"/>
            <scheme val="minor"/>
          </rPr>
          <t>Seleccione un valor de la lista</t>
        </r>
      </text>
    </comment>
    <comment ref="D423" authorId="1">
      <text>
        <r>
          <rPr>
            <sz val="11"/>
            <color theme="1"/>
            <rFont val="Calibri"/>
            <family val="2"/>
            <scheme val="minor"/>
          </rPr>
          <t>Introduzca un número con dos decimales como máximo. Debe ser igual o mayor a la "Cantidad Real Consumida"</t>
        </r>
      </text>
    </comment>
    <comment ref="E423" authorId="1">
      <text>
        <r>
          <rPr>
            <sz val="11"/>
            <color theme="1"/>
            <rFont val="Calibri"/>
            <family val="2"/>
            <scheme val="minor"/>
          </rPr>
          <t>Introduzca un número con dos decimales como máximo</t>
        </r>
      </text>
    </comment>
    <comment ref="F423" authorId="1">
      <text>
        <r>
          <rPr>
            <sz val="11"/>
            <color theme="1"/>
            <rFont val="Calibri"/>
            <family val="2"/>
            <scheme val="minor"/>
          </rPr>
          <t>Monto calculado automáticamente por el sistema</t>
        </r>
      </text>
    </comment>
    <comment ref="A431" authorId="1">
      <text>
        <r>
          <rPr>
            <sz val="11"/>
            <color theme="1"/>
            <rFont val="Calibri"/>
            <family val="2"/>
            <scheme val="minor"/>
          </rPr>
          <t>Introducir un texto con el nombre o referencia de la contratación</t>
        </r>
      </text>
    </comment>
    <comment ref="B431" authorId="1">
      <text>
        <r>
          <rPr>
            <sz val="11"/>
            <color theme="1"/>
            <rFont val="Calibri"/>
            <family val="2"/>
            <scheme val="minor"/>
          </rPr>
          <t>Introduzca un texto con la finalidad de la contratación</t>
        </r>
      </text>
    </comment>
    <comment ref="C431" authorId="1">
      <text>
        <r>
          <rPr>
            <sz val="11"/>
            <color theme="1"/>
            <rFont val="Calibri"/>
            <family val="2"/>
            <scheme val="minor"/>
          </rPr>
          <t>Seleccionar un valor del listado</t>
        </r>
      </text>
    </comment>
    <comment ref="D431" authorId="1">
      <text>
        <r>
          <rPr>
            <sz val="11"/>
            <color theme="1"/>
            <rFont val="Calibri"/>
            <family val="2"/>
            <scheme val="minor"/>
          </rPr>
          <t>Seleccione el tipo de procedimiento</t>
        </r>
      </text>
    </comment>
    <comment ref="E431" authorId="1">
      <text>
        <r>
          <rPr>
            <sz val="11"/>
            <color theme="1"/>
            <rFont val="Calibri"/>
            <family val="2"/>
            <scheme val="minor"/>
          </rPr>
          <t>Seleccione un valor de la lista</t>
        </r>
      </text>
    </comment>
    <comment ref="F431" authorId="1">
      <text>
        <r>
          <rPr>
            <sz val="11"/>
            <color theme="1"/>
            <rFont val="Calibri"/>
            <family val="2"/>
            <scheme val="minor"/>
          </rPr>
          <t>Introduzca el código SNIP</t>
        </r>
      </text>
    </comment>
    <comment ref="C432" authorId="1">
      <text>
        <r>
          <rPr>
            <sz val="11"/>
            <color theme="1"/>
            <rFont val="Calibri"/>
            <family val="2"/>
            <scheme val="minor"/>
          </rPr>
          <t>Introduzca la fecha de inicio del proceso, en formato dd-mm-aaaa</t>
        </r>
      </text>
    </comment>
    <comment ref="F43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3" authorId="1">
      <text/>
    </comment>
    <comment ref="C434" authorId="1">
      <text>
        <r>
          <rPr>
            <sz val="11"/>
            <color theme="1"/>
            <rFont val="Calibri"/>
            <family val="2"/>
            <scheme val="minor"/>
          </rPr>
          <t>Introduzca la fecha prevista de adjudicación, en formato dd-mm-aaaa</t>
        </r>
      </text>
    </comment>
    <comment ref="F434" authorId="1">
      <text/>
    </comment>
    <comment ref="F435" authorId="1">
      <text/>
    </comment>
    <comment ref="A437" authorId="1">
      <text>
        <r>
          <rPr>
            <sz val="11"/>
            <color theme="1"/>
            <rFont val="Calibri"/>
            <family val="2"/>
            <scheme val="minor"/>
          </rPr>
          <t>Introduzca un codigo UNSPSC</t>
        </r>
      </text>
    </comment>
    <comment ref="B437" authorId="1">
      <text>
        <r>
          <rPr>
            <sz val="11"/>
            <color theme="1"/>
            <rFont val="Calibri"/>
            <family val="2"/>
            <scheme val="minor"/>
          </rPr>
          <t>Descripción calculada automáticamente a partir de código del artículo</t>
        </r>
      </text>
    </comment>
    <comment ref="C437" authorId="1">
      <text>
        <r>
          <rPr>
            <sz val="11"/>
            <color theme="1"/>
            <rFont val="Calibri"/>
            <family val="2"/>
            <scheme val="minor"/>
          </rPr>
          <t>Seleccione un valor de la lista</t>
        </r>
      </text>
    </comment>
    <comment ref="D437" authorId="1">
      <text>
        <r>
          <rPr>
            <sz val="11"/>
            <color theme="1"/>
            <rFont val="Calibri"/>
            <family val="2"/>
            <scheme val="minor"/>
          </rPr>
          <t>Introduzca un número con dos decimales como máximo. Debe ser igual o mayor a la "Cantidad Real Consumida"</t>
        </r>
      </text>
    </comment>
    <comment ref="E437" authorId="1">
      <text>
        <r>
          <rPr>
            <sz val="11"/>
            <color theme="1"/>
            <rFont val="Calibri"/>
            <family val="2"/>
            <scheme val="minor"/>
          </rPr>
          <t>Introduzca un número con dos decimales como máximo</t>
        </r>
      </text>
    </comment>
    <comment ref="F437" authorId="1">
      <text>
        <r>
          <rPr>
            <sz val="11"/>
            <color theme="1"/>
            <rFont val="Calibri"/>
            <family val="2"/>
            <scheme val="minor"/>
          </rPr>
          <t>Monto calculado automáticamente por el sistema</t>
        </r>
      </text>
    </comment>
    <comment ref="A442" authorId="1">
      <text>
        <r>
          <rPr>
            <sz val="11"/>
            <color theme="1"/>
            <rFont val="Calibri"/>
            <family val="2"/>
            <scheme val="minor"/>
          </rPr>
          <t>Introducir un texto con el nombre o referencia de la contratación</t>
        </r>
      </text>
    </comment>
    <comment ref="B442" authorId="1">
      <text>
        <r>
          <rPr>
            <sz val="11"/>
            <color theme="1"/>
            <rFont val="Calibri"/>
            <family val="2"/>
            <scheme val="minor"/>
          </rPr>
          <t>Introduzca un texto con la finalidad de la contratación</t>
        </r>
      </text>
    </comment>
    <comment ref="C442" authorId="1">
      <text>
        <r>
          <rPr>
            <sz val="11"/>
            <color theme="1"/>
            <rFont val="Calibri"/>
            <family val="2"/>
            <scheme val="minor"/>
          </rPr>
          <t>Seleccionar un valor del listado</t>
        </r>
      </text>
    </comment>
    <comment ref="D442" authorId="1">
      <text>
        <r>
          <rPr>
            <sz val="11"/>
            <color theme="1"/>
            <rFont val="Calibri"/>
            <family val="2"/>
            <scheme val="minor"/>
          </rPr>
          <t>Seleccione el tipo de procedimiento</t>
        </r>
      </text>
    </comment>
    <comment ref="E442" authorId="1">
      <text>
        <r>
          <rPr>
            <sz val="11"/>
            <color theme="1"/>
            <rFont val="Calibri"/>
            <family val="2"/>
            <scheme val="minor"/>
          </rPr>
          <t>Seleccione un valor de la lista</t>
        </r>
      </text>
    </comment>
    <comment ref="F442" authorId="1">
      <text>
        <r>
          <rPr>
            <sz val="11"/>
            <color theme="1"/>
            <rFont val="Calibri"/>
            <family val="2"/>
            <scheme val="minor"/>
          </rPr>
          <t>Introduzca el código SNIP</t>
        </r>
      </text>
    </comment>
    <comment ref="C443" authorId="1">
      <text>
        <r>
          <rPr>
            <sz val="11"/>
            <color theme="1"/>
            <rFont val="Calibri"/>
            <family val="2"/>
            <scheme val="minor"/>
          </rPr>
          <t>Introduzca la fecha de inicio del proceso, en formato dd-mm-aaaa</t>
        </r>
      </text>
    </comment>
    <comment ref="F44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4" authorId="1">
      <text/>
    </comment>
    <comment ref="C445" authorId="1">
      <text>
        <r>
          <rPr>
            <sz val="11"/>
            <color theme="1"/>
            <rFont val="Calibri"/>
            <family val="2"/>
            <scheme val="minor"/>
          </rPr>
          <t>Introduzca la fecha prevista de adjudicación, en formato dd-mm-aaaa</t>
        </r>
      </text>
    </comment>
    <comment ref="F445" authorId="1">
      <text/>
    </comment>
    <comment ref="F446" authorId="1">
      <text/>
    </comment>
    <comment ref="A448" authorId="1">
      <text>
        <r>
          <rPr>
            <sz val="11"/>
            <color theme="1"/>
            <rFont val="Calibri"/>
            <family val="2"/>
            <scheme val="minor"/>
          </rPr>
          <t>Introduzca un codigo UNSPSC</t>
        </r>
      </text>
    </comment>
    <comment ref="B448" authorId="1">
      <text>
        <r>
          <rPr>
            <sz val="11"/>
            <color theme="1"/>
            <rFont val="Calibri"/>
            <family val="2"/>
            <scheme val="minor"/>
          </rPr>
          <t>Descripción calculada automáticamente a partir de código del artículo</t>
        </r>
      </text>
    </comment>
    <comment ref="C448" authorId="1">
      <text>
        <r>
          <rPr>
            <sz val="11"/>
            <color theme="1"/>
            <rFont val="Calibri"/>
            <family val="2"/>
            <scheme val="minor"/>
          </rPr>
          <t>Seleccione un valor de la lista</t>
        </r>
      </text>
    </comment>
    <comment ref="D448" authorId="1">
      <text>
        <r>
          <rPr>
            <sz val="11"/>
            <color theme="1"/>
            <rFont val="Calibri"/>
            <family val="2"/>
            <scheme val="minor"/>
          </rPr>
          <t>Introduzca un número con dos decimales como máximo. Debe ser igual o mayor a la "Cantidad Real Consumida"</t>
        </r>
      </text>
    </comment>
    <comment ref="E448" authorId="1">
      <text>
        <r>
          <rPr>
            <sz val="11"/>
            <color theme="1"/>
            <rFont val="Calibri"/>
            <family val="2"/>
            <scheme val="minor"/>
          </rPr>
          <t>Introduzca un número con dos decimales como máximo</t>
        </r>
      </text>
    </comment>
    <comment ref="F448" authorId="1">
      <text>
        <r>
          <rPr>
            <sz val="11"/>
            <color theme="1"/>
            <rFont val="Calibri"/>
            <family val="2"/>
            <scheme val="minor"/>
          </rPr>
          <t>Monto calculado automáticamente por el sistema</t>
        </r>
      </text>
    </comment>
    <comment ref="A455" authorId="1">
      <text>
        <r>
          <rPr>
            <sz val="11"/>
            <color theme="1"/>
            <rFont val="Calibri"/>
            <family val="2"/>
            <scheme val="minor"/>
          </rPr>
          <t>Introducir un texto con el nombre o referencia de la contratación</t>
        </r>
      </text>
    </comment>
    <comment ref="B455" authorId="1">
      <text>
        <r>
          <rPr>
            <sz val="11"/>
            <color theme="1"/>
            <rFont val="Calibri"/>
            <family val="2"/>
            <scheme val="minor"/>
          </rPr>
          <t>Introduzca un texto con la finalidad de la contratación</t>
        </r>
      </text>
    </comment>
    <comment ref="C455" authorId="1">
      <text>
        <r>
          <rPr>
            <sz val="11"/>
            <color theme="1"/>
            <rFont val="Calibri"/>
            <family val="2"/>
            <scheme val="minor"/>
          </rPr>
          <t>Seleccionar un valor del listado</t>
        </r>
      </text>
    </comment>
    <comment ref="D455" authorId="1">
      <text>
        <r>
          <rPr>
            <sz val="11"/>
            <color theme="1"/>
            <rFont val="Calibri"/>
            <family val="2"/>
            <scheme val="minor"/>
          </rPr>
          <t>Seleccione el tipo de procedimiento</t>
        </r>
      </text>
    </comment>
    <comment ref="E455" authorId="1">
      <text>
        <r>
          <rPr>
            <sz val="11"/>
            <color theme="1"/>
            <rFont val="Calibri"/>
            <family val="2"/>
            <scheme val="minor"/>
          </rPr>
          <t>Seleccione un valor de la lista</t>
        </r>
      </text>
    </comment>
    <comment ref="F455" authorId="1">
      <text>
        <r>
          <rPr>
            <sz val="11"/>
            <color theme="1"/>
            <rFont val="Calibri"/>
            <family val="2"/>
            <scheme val="minor"/>
          </rPr>
          <t>Introduzca el código SNIP</t>
        </r>
      </text>
    </comment>
    <comment ref="C456" authorId="1">
      <text>
        <r>
          <rPr>
            <sz val="11"/>
            <color theme="1"/>
            <rFont val="Calibri"/>
            <family val="2"/>
            <scheme val="minor"/>
          </rPr>
          <t>Introduzca la fecha de inicio del proceso, en formato dd-mm-aaaa</t>
        </r>
      </text>
    </comment>
    <comment ref="F45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7" authorId="1">
      <text/>
    </comment>
    <comment ref="C458" authorId="1">
      <text>
        <r>
          <rPr>
            <sz val="11"/>
            <color theme="1"/>
            <rFont val="Calibri"/>
            <family val="2"/>
            <scheme val="minor"/>
          </rPr>
          <t>Introduzca la fecha prevista de adjudicación, en formato dd-mm-aaaa</t>
        </r>
      </text>
    </comment>
    <comment ref="F458" authorId="1">
      <text/>
    </comment>
    <comment ref="F459" authorId="1">
      <text/>
    </comment>
    <comment ref="A461" authorId="1">
      <text>
        <r>
          <rPr>
            <sz val="11"/>
            <color theme="1"/>
            <rFont val="Calibri"/>
            <family val="2"/>
            <scheme val="minor"/>
          </rPr>
          <t>Introduzca un codigo UNSPSC</t>
        </r>
      </text>
    </comment>
    <comment ref="B461" authorId="1">
      <text>
        <r>
          <rPr>
            <sz val="11"/>
            <color theme="1"/>
            <rFont val="Calibri"/>
            <family val="2"/>
            <scheme val="minor"/>
          </rPr>
          <t>Descripción calculada automáticamente a partir de código del artículo</t>
        </r>
      </text>
    </comment>
    <comment ref="C461" authorId="1">
      <text>
        <r>
          <rPr>
            <sz val="11"/>
            <color theme="1"/>
            <rFont val="Calibri"/>
            <family val="2"/>
            <scheme val="minor"/>
          </rPr>
          <t>Seleccione un valor de la lista</t>
        </r>
      </text>
    </comment>
    <comment ref="D461" authorId="1">
      <text>
        <r>
          <rPr>
            <sz val="11"/>
            <color theme="1"/>
            <rFont val="Calibri"/>
            <family val="2"/>
            <scheme val="minor"/>
          </rPr>
          <t>Introduzca un número con dos decimales como máximo. Debe ser igual o mayor a la "Cantidad Real Consumida"</t>
        </r>
      </text>
    </comment>
    <comment ref="E461" authorId="1">
      <text>
        <r>
          <rPr>
            <sz val="11"/>
            <color theme="1"/>
            <rFont val="Calibri"/>
            <family val="2"/>
            <scheme val="minor"/>
          </rPr>
          <t>Introduzca un número con dos decimales como máximo</t>
        </r>
      </text>
    </comment>
    <comment ref="F461" authorId="1">
      <text>
        <r>
          <rPr>
            <sz val="11"/>
            <color theme="1"/>
            <rFont val="Calibri"/>
            <family val="2"/>
            <scheme val="minor"/>
          </rPr>
          <t>Monto calculado automáticamente por el sistema</t>
        </r>
      </text>
    </comment>
    <comment ref="A466" authorId="1">
      <text>
        <r>
          <rPr>
            <sz val="11"/>
            <color theme="1"/>
            <rFont val="Calibri"/>
            <family val="2"/>
            <scheme val="minor"/>
          </rPr>
          <t>Introducir un texto con el nombre o referencia de la contratación</t>
        </r>
      </text>
    </comment>
    <comment ref="B466" authorId="1">
      <text>
        <r>
          <rPr>
            <sz val="11"/>
            <color theme="1"/>
            <rFont val="Calibri"/>
            <family val="2"/>
            <scheme val="minor"/>
          </rPr>
          <t>Introduzca un texto con la finalidad de la contratación</t>
        </r>
      </text>
    </comment>
    <comment ref="C466" authorId="1">
      <text>
        <r>
          <rPr>
            <sz val="11"/>
            <color theme="1"/>
            <rFont val="Calibri"/>
            <family val="2"/>
            <scheme val="minor"/>
          </rPr>
          <t>Seleccionar un valor del listado</t>
        </r>
      </text>
    </comment>
    <comment ref="D466" authorId="1">
      <text>
        <r>
          <rPr>
            <sz val="11"/>
            <color theme="1"/>
            <rFont val="Calibri"/>
            <family val="2"/>
            <scheme val="minor"/>
          </rPr>
          <t>Seleccione el tipo de procedimiento</t>
        </r>
      </text>
    </comment>
    <comment ref="E466" authorId="1">
      <text>
        <r>
          <rPr>
            <sz val="11"/>
            <color theme="1"/>
            <rFont val="Calibri"/>
            <family val="2"/>
            <scheme val="minor"/>
          </rPr>
          <t>Seleccione un valor de la lista</t>
        </r>
      </text>
    </comment>
    <comment ref="F466" authorId="1">
      <text>
        <r>
          <rPr>
            <sz val="11"/>
            <color theme="1"/>
            <rFont val="Calibri"/>
            <family val="2"/>
            <scheme val="minor"/>
          </rPr>
          <t>Introduzca el código SNIP</t>
        </r>
      </text>
    </comment>
    <comment ref="C467" authorId="1">
      <text>
        <r>
          <rPr>
            <sz val="11"/>
            <color theme="1"/>
            <rFont val="Calibri"/>
            <family val="2"/>
            <scheme val="minor"/>
          </rPr>
          <t>Introduzca la fecha de inicio del proceso, en formato dd-mm-aaaa</t>
        </r>
      </text>
    </comment>
    <comment ref="F46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8" authorId="1">
      <text/>
    </comment>
    <comment ref="C469" authorId="1">
      <text>
        <r>
          <rPr>
            <sz val="11"/>
            <color theme="1"/>
            <rFont val="Calibri"/>
            <family val="2"/>
            <scheme val="minor"/>
          </rPr>
          <t>Introduzca la fecha prevista de adjudicación, en formato dd-mm-aaaa</t>
        </r>
      </text>
    </comment>
    <comment ref="F469" authorId="1">
      <text/>
    </comment>
    <comment ref="F470" authorId="1">
      <text/>
    </comment>
    <comment ref="A472" authorId="1">
      <text>
        <r>
          <rPr>
            <sz val="11"/>
            <color theme="1"/>
            <rFont val="Calibri"/>
            <family val="2"/>
            <scheme val="minor"/>
          </rPr>
          <t>Introduzca un codigo UNSPSC</t>
        </r>
      </text>
    </comment>
    <comment ref="B472" authorId="1">
      <text>
        <r>
          <rPr>
            <sz val="11"/>
            <color theme="1"/>
            <rFont val="Calibri"/>
            <family val="2"/>
            <scheme val="minor"/>
          </rPr>
          <t>Descripción calculada automáticamente a partir de código del artículo</t>
        </r>
      </text>
    </comment>
    <comment ref="C472" authorId="1">
      <text>
        <r>
          <rPr>
            <sz val="11"/>
            <color theme="1"/>
            <rFont val="Calibri"/>
            <family val="2"/>
            <scheme val="minor"/>
          </rPr>
          <t>Seleccione un valor de la lista</t>
        </r>
      </text>
    </comment>
    <comment ref="D472" authorId="1">
      <text>
        <r>
          <rPr>
            <sz val="11"/>
            <color theme="1"/>
            <rFont val="Calibri"/>
            <family val="2"/>
            <scheme val="minor"/>
          </rPr>
          <t>Introduzca un número con dos decimales como máximo. Debe ser igual o mayor a la "Cantidad Real Consumida"</t>
        </r>
      </text>
    </comment>
    <comment ref="E472" authorId="1">
      <text>
        <r>
          <rPr>
            <sz val="11"/>
            <color theme="1"/>
            <rFont val="Calibri"/>
            <family val="2"/>
            <scheme val="minor"/>
          </rPr>
          <t>Introduzca un número con dos decimales como máximo</t>
        </r>
      </text>
    </comment>
    <comment ref="F472" authorId="1">
      <text>
        <r>
          <rPr>
            <sz val="11"/>
            <color theme="1"/>
            <rFont val="Calibri"/>
            <family val="2"/>
            <scheme val="minor"/>
          </rPr>
          <t>Monto calculado automáticamente por el sistema</t>
        </r>
      </text>
    </comment>
    <comment ref="A477" authorId="1">
      <text>
        <r>
          <rPr>
            <sz val="11"/>
            <color theme="1"/>
            <rFont val="Calibri"/>
            <family val="2"/>
            <scheme val="minor"/>
          </rPr>
          <t>Introducir un texto con el nombre o referencia de la contratación</t>
        </r>
      </text>
    </comment>
    <comment ref="B477" authorId="1">
      <text>
        <r>
          <rPr>
            <sz val="11"/>
            <color theme="1"/>
            <rFont val="Calibri"/>
            <family val="2"/>
            <scheme val="minor"/>
          </rPr>
          <t>Introduzca un texto con la finalidad de la contratación</t>
        </r>
      </text>
    </comment>
    <comment ref="C477" authorId="1">
      <text>
        <r>
          <rPr>
            <sz val="11"/>
            <color theme="1"/>
            <rFont val="Calibri"/>
            <family val="2"/>
            <scheme val="minor"/>
          </rPr>
          <t>Seleccionar un valor del listado</t>
        </r>
      </text>
    </comment>
    <comment ref="D477" authorId="1">
      <text>
        <r>
          <rPr>
            <sz val="11"/>
            <color theme="1"/>
            <rFont val="Calibri"/>
            <family val="2"/>
            <scheme val="minor"/>
          </rPr>
          <t>Seleccione el tipo de procedimiento</t>
        </r>
      </text>
    </comment>
    <comment ref="E477" authorId="1">
      <text>
        <r>
          <rPr>
            <sz val="11"/>
            <color theme="1"/>
            <rFont val="Calibri"/>
            <family val="2"/>
            <scheme val="minor"/>
          </rPr>
          <t>Seleccione un valor de la lista</t>
        </r>
      </text>
    </comment>
    <comment ref="F477" authorId="1">
      <text>
        <r>
          <rPr>
            <sz val="11"/>
            <color theme="1"/>
            <rFont val="Calibri"/>
            <family val="2"/>
            <scheme val="minor"/>
          </rPr>
          <t>Introduzca el código SNIP</t>
        </r>
      </text>
    </comment>
    <comment ref="C478" authorId="1">
      <text>
        <r>
          <rPr>
            <sz val="11"/>
            <color theme="1"/>
            <rFont val="Calibri"/>
            <family val="2"/>
            <scheme val="minor"/>
          </rPr>
          <t>Introduzca la fecha de inicio del proceso, en formato dd-mm-aaaa</t>
        </r>
      </text>
    </comment>
    <comment ref="F47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9" authorId="1">
      <text/>
    </comment>
    <comment ref="C480" authorId="1">
      <text>
        <r>
          <rPr>
            <sz val="11"/>
            <color theme="1"/>
            <rFont val="Calibri"/>
            <family val="2"/>
            <scheme val="minor"/>
          </rPr>
          <t>Introduzca la fecha prevista de adjudicación, en formato dd-mm-aaaa</t>
        </r>
      </text>
    </comment>
    <comment ref="F480" authorId="1">
      <text/>
    </comment>
    <comment ref="F481" authorId="1">
      <text/>
    </comment>
    <comment ref="A483" authorId="1">
      <text>
        <r>
          <rPr>
            <sz val="11"/>
            <color theme="1"/>
            <rFont val="Calibri"/>
            <family val="2"/>
            <scheme val="minor"/>
          </rPr>
          <t>Introduzca un codigo UNSPSC</t>
        </r>
      </text>
    </comment>
    <comment ref="B483" authorId="1">
      <text>
        <r>
          <rPr>
            <sz val="11"/>
            <color theme="1"/>
            <rFont val="Calibri"/>
            <family val="2"/>
            <scheme val="minor"/>
          </rPr>
          <t>Descripción calculada automáticamente a partir de código del artículo</t>
        </r>
      </text>
    </comment>
    <comment ref="C483" authorId="1">
      <text>
        <r>
          <rPr>
            <sz val="11"/>
            <color theme="1"/>
            <rFont val="Calibri"/>
            <family val="2"/>
            <scheme val="minor"/>
          </rPr>
          <t>Seleccione un valor de la lista</t>
        </r>
      </text>
    </comment>
    <comment ref="D483" authorId="1">
      <text>
        <r>
          <rPr>
            <sz val="11"/>
            <color theme="1"/>
            <rFont val="Calibri"/>
            <family val="2"/>
            <scheme val="minor"/>
          </rPr>
          <t>Introduzca un número con dos decimales como máximo. Debe ser igual o mayor a la "Cantidad Real Consumida"</t>
        </r>
      </text>
    </comment>
    <comment ref="E483" authorId="1">
      <text>
        <r>
          <rPr>
            <sz val="11"/>
            <color theme="1"/>
            <rFont val="Calibri"/>
            <family val="2"/>
            <scheme val="minor"/>
          </rPr>
          <t>Introduzca un número con dos decimales como máximo</t>
        </r>
      </text>
    </comment>
    <comment ref="F483" authorId="1">
      <text>
        <r>
          <rPr>
            <sz val="11"/>
            <color theme="1"/>
            <rFont val="Calibri"/>
            <family val="2"/>
            <scheme val="minor"/>
          </rPr>
          <t>Monto calculado automáticamente por el sistema</t>
        </r>
      </text>
    </comment>
    <comment ref="A488" authorId="1">
      <text>
        <r>
          <rPr>
            <sz val="11"/>
            <color theme="1"/>
            <rFont val="Calibri"/>
            <family val="2"/>
            <scheme val="minor"/>
          </rPr>
          <t>Introducir un texto con el nombre o referencia de la contratación</t>
        </r>
      </text>
    </comment>
    <comment ref="B488" authorId="1">
      <text>
        <r>
          <rPr>
            <sz val="11"/>
            <color theme="1"/>
            <rFont val="Calibri"/>
            <family val="2"/>
            <scheme val="minor"/>
          </rPr>
          <t>Introduzca un texto con la finalidad de la contratación</t>
        </r>
      </text>
    </comment>
    <comment ref="C488" authorId="1">
      <text>
        <r>
          <rPr>
            <sz val="11"/>
            <color theme="1"/>
            <rFont val="Calibri"/>
            <family val="2"/>
            <scheme val="minor"/>
          </rPr>
          <t>Seleccionar un valor del listado</t>
        </r>
      </text>
    </comment>
    <comment ref="D488" authorId="1">
      <text>
        <r>
          <rPr>
            <sz val="11"/>
            <color theme="1"/>
            <rFont val="Calibri"/>
            <family val="2"/>
            <scheme val="minor"/>
          </rPr>
          <t>Seleccione el tipo de procedimiento</t>
        </r>
      </text>
    </comment>
    <comment ref="E488" authorId="1">
      <text>
        <r>
          <rPr>
            <sz val="11"/>
            <color theme="1"/>
            <rFont val="Calibri"/>
            <family val="2"/>
            <scheme val="minor"/>
          </rPr>
          <t>Seleccione un valor de la lista</t>
        </r>
      </text>
    </comment>
    <comment ref="F488" authorId="1">
      <text>
        <r>
          <rPr>
            <sz val="11"/>
            <color theme="1"/>
            <rFont val="Calibri"/>
            <family val="2"/>
            <scheme val="minor"/>
          </rPr>
          <t>Introduzca el código SNIP</t>
        </r>
      </text>
    </comment>
    <comment ref="C489" authorId="1">
      <text>
        <r>
          <rPr>
            <sz val="11"/>
            <color theme="1"/>
            <rFont val="Calibri"/>
            <family val="2"/>
            <scheme val="minor"/>
          </rPr>
          <t>Introduzca la fecha de inicio del proceso, en formato dd-mm-aaaa</t>
        </r>
      </text>
    </comment>
    <comment ref="F48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0" authorId="1">
      <text/>
    </comment>
    <comment ref="C491" authorId="1">
      <text>
        <r>
          <rPr>
            <sz val="11"/>
            <color theme="1"/>
            <rFont val="Calibri"/>
            <family val="2"/>
            <scheme val="minor"/>
          </rPr>
          <t>Introduzca la fecha prevista de adjudicación, en formato dd-mm-aaaa</t>
        </r>
      </text>
    </comment>
    <comment ref="F491" authorId="1">
      <text/>
    </comment>
    <comment ref="F492" authorId="1">
      <text/>
    </comment>
    <comment ref="A494" authorId="1">
      <text>
        <r>
          <rPr>
            <sz val="11"/>
            <color theme="1"/>
            <rFont val="Calibri"/>
            <family val="2"/>
            <scheme val="minor"/>
          </rPr>
          <t>Introduzca un codigo UNSPSC</t>
        </r>
      </text>
    </comment>
    <comment ref="B494" authorId="1">
      <text>
        <r>
          <rPr>
            <sz val="11"/>
            <color theme="1"/>
            <rFont val="Calibri"/>
            <family val="2"/>
            <scheme val="minor"/>
          </rPr>
          <t>Descripción calculada automáticamente a partir de código del artículo</t>
        </r>
      </text>
    </comment>
    <comment ref="C494" authorId="1">
      <text>
        <r>
          <rPr>
            <sz val="11"/>
            <color theme="1"/>
            <rFont val="Calibri"/>
            <family val="2"/>
            <scheme val="minor"/>
          </rPr>
          <t>Seleccione un valor de la lista</t>
        </r>
      </text>
    </comment>
    <comment ref="D494" authorId="1">
      <text>
        <r>
          <rPr>
            <sz val="11"/>
            <color theme="1"/>
            <rFont val="Calibri"/>
            <family val="2"/>
            <scheme val="minor"/>
          </rPr>
          <t>Introduzca un número con dos decimales como máximo. Debe ser igual o mayor a la "Cantidad Real Consumida"</t>
        </r>
      </text>
    </comment>
    <comment ref="E494" authorId="1">
      <text>
        <r>
          <rPr>
            <sz val="11"/>
            <color theme="1"/>
            <rFont val="Calibri"/>
            <family val="2"/>
            <scheme val="minor"/>
          </rPr>
          <t>Introduzca un número con dos decimales como máximo</t>
        </r>
      </text>
    </comment>
    <comment ref="F494" authorId="1">
      <text>
        <r>
          <rPr>
            <sz val="11"/>
            <color theme="1"/>
            <rFont val="Calibri"/>
            <family val="2"/>
            <scheme val="minor"/>
          </rPr>
          <t>Monto calculado automáticamente por el sistema</t>
        </r>
      </text>
    </comment>
    <comment ref="A499" authorId="1">
      <text>
        <r>
          <rPr>
            <sz val="11"/>
            <color theme="1"/>
            <rFont val="Calibri"/>
            <family val="2"/>
            <scheme val="minor"/>
          </rPr>
          <t>Introducir un texto con el nombre o referencia de la contratación</t>
        </r>
      </text>
    </comment>
    <comment ref="B499" authorId="1">
      <text>
        <r>
          <rPr>
            <sz val="11"/>
            <color theme="1"/>
            <rFont val="Calibri"/>
            <family val="2"/>
            <scheme val="minor"/>
          </rPr>
          <t>Introduzca un texto con la finalidad de la contratación</t>
        </r>
      </text>
    </comment>
    <comment ref="C499" authorId="1">
      <text>
        <r>
          <rPr>
            <sz val="11"/>
            <color theme="1"/>
            <rFont val="Calibri"/>
            <family val="2"/>
            <scheme val="minor"/>
          </rPr>
          <t>Seleccionar un valor del listado</t>
        </r>
      </text>
    </comment>
    <comment ref="D499" authorId="1">
      <text>
        <r>
          <rPr>
            <sz val="11"/>
            <color theme="1"/>
            <rFont val="Calibri"/>
            <family val="2"/>
            <scheme val="minor"/>
          </rPr>
          <t>Seleccione el tipo de procedimiento</t>
        </r>
      </text>
    </comment>
    <comment ref="E499" authorId="1">
      <text>
        <r>
          <rPr>
            <sz val="11"/>
            <color theme="1"/>
            <rFont val="Calibri"/>
            <family val="2"/>
            <scheme val="minor"/>
          </rPr>
          <t>Seleccione un valor de la lista</t>
        </r>
      </text>
    </comment>
    <comment ref="F499" authorId="1">
      <text>
        <r>
          <rPr>
            <sz val="11"/>
            <color theme="1"/>
            <rFont val="Calibri"/>
            <family val="2"/>
            <scheme val="minor"/>
          </rPr>
          <t>Introduzca el código SNIP</t>
        </r>
      </text>
    </comment>
    <comment ref="C500" authorId="1">
      <text>
        <r>
          <rPr>
            <sz val="11"/>
            <color theme="1"/>
            <rFont val="Calibri"/>
            <family val="2"/>
            <scheme val="minor"/>
          </rPr>
          <t>Introduzca la fecha de inicio del proceso, en formato dd-mm-aaaa</t>
        </r>
      </text>
    </comment>
    <comment ref="F50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1" authorId="1">
      <text/>
    </comment>
    <comment ref="C502" authorId="1">
      <text>
        <r>
          <rPr>
            <sz val="11"/>
            <color theme="1"/>
            <rFont val="Calibri"/>
            <family val="2"/>
            <scheme val="minor"/>
          </rPr>
          <t>Introduzca la fecha prevista de adjudicación, en formato dd-mm-aaaa</t>
        </r>
      </text>
    </comment>
    <comment ref="F502" authorId="1">
      <text/>
    </comment>
    <comment ref="F503" authorId="1">
      <text/>
    </comment>
    <comment ref="A505" authorId="1">
      <text>
        <r>
          <rPr>
            <sz val="11"/>
            <color theme="1"/>
            <rFont val="Calibri"/>
            <family val="2"/>
            <scheme val="minor"/>
          </rPr>
          <t>Introduzca un codigo UNSPSC</t>
        </r>
      </text>
    </comment>
    <comment ref="B505" authorId="1">
      <text>
        <r>
          <rPr>
            <sz val="11"/>
            <color theme="1"/>
            <rFont val="Calibri"/>
            <family val="2"/>
            <scheme val="minor"/>
          </rPr>
          <t>Descripción calculada automáticamente a partir de código del artículo</t>
        </r>
      </text>
    </comment>
    <comment ref="C505" authorId="1">
      <text>
        <r>
          <rPr>
            <sz val="11"/>
            <color theme="1"/>
            <rFont val="Calibri"/>
            <family val="2"/>
            <scheme val="minor"/>
          </rPr>
          <t>Seleccione un valor de la lista</t>
        </r>
      </text>
    </comment>
    <comment ref="D505" authorId="1">
      <text>
        <r>
          <rPr>
            <sz val="11"/>
            <color theme="1"/>
            <rFont val="Calibri"/>
            <family val="2"/>
            <scheme val="minor"/>
          </rPr>
          <t>Introduzca un número con dos decimales como máximo. Debe ser igual o mayor a la "Cantidad Real Consumida"</t>
        </r>
      </text>
    </comment>
    <comment ref="E505" authorId="1">
      <text>
        <r>
          <rPr>
            <sz val="11"/>
            <color theme="1"/>
            <rFont val="Calibri"/>
            <family val="2"/>
            <scheme val="minor"/>
          </rPr>
          <t>Introduzca un número con dos decimales como máximo</t>
        </r>
      </text>
    </comment>
    <comment ref="F505" authorId="1">
      <text>
        <r>
          <rPr>
            <sz val="11"/>
            <color theme="1"/>
            <rFont val="Calibri"/>
            <family val="2"/>
            <scheme val="minor"/>
          </rPr>
          <t>Monto calculado automáticamente por el sistema</t>
        </r>
      </text>
    </comment>
    <comment ref="A515" authorId="1">
      <text>
        <r>
          <rPr>
            <sz val="11"/>
            <color theme="1"/>
            <rFont val="Calibri"/>
            <family val="2"/>
            <scheme val="minor"/>
          </rPr>
          <t>Introducir un texto con el nombre o referencia de la contratación</t>
        </r>
      </text>
    </comment>
    <comment ref="B515" authorId="1">
      <text>
        <r>
          <rPr>
            <sz val="11"/>
            <color theme="1"/>
            <rFont val="Calibri"/>
            <family val="2"/>
            <scheme val="minor"/>
          </rPr>
          <t>Introduzca un texto con la finalidad de la contratación</t>
        </r>
      </text>
    </comment>
    <comment ref="C515" authorId="1">
      <text>
        <r>
          <rPr>
            <sz val="11"/>
            <color theme="1"/>
            <rFont val="Calibri"/>
            <family val="2"/>
            <scheme val="minor"/>
          </rPr>
          <t>Seleccionar un valor del listado</t>
        </r>
      </text>
    </comment>
    <comment ref="D515" authorId="1">
      <text>
        <r>
          <rPr>
            <sz val="11"/>
            <color theme="1"/>
            <rFont val="Calibri"/>
            <family val="2"/>
            <scheme val="minor"/>
          </rPr>
          <t>Seleccione el tipo de procedimiento</t>
        </r>
      </text>
    </comment>
    <comment ref="E515" authorId="1">
      <text>
        <r>
          <rPr>
            <sz val="11"/>
            <color theme="1"/>
            <rFont val="Calibri"/>
            <family val="2"/>
            <scheme val="minor"/>
          </rPr>
          <t>Seleccione un valor de la lista</t>
        </r>
      </text>
    </comment>
    <comment ref="F515" authorId="1">
      <text>
        <r>
          <rPr>
            <sz val="11"/>
            <color theme="1"/>
            <rFont val="Calibri"/>
            <family val="2"/>
            <scheme val="minor"/>
          </rPr>
          <t>Introduzca el código SNIP</t>
        </r>
      </text>
    </comment>
    <comment ref="C516" authorId="1">
      <text>
        <r>
          <rPr>
            <sz val="11"/>
            <color theme="1"/>
            <rFont val="Calibri"/>
            <family val="2"/>
            <scheme val="minor"/>
          </rPr>
          <t>Introduzca la fecha de inicio del proceso, en formato dd-mm-aaaa</t>
        </r>
      </text>
    </comment>
    <comment ref="F51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7" authorId="1">
      <text/>
    </comment>
    <comment ref="C518" authorId="1">
      <text>
        <r>
          <rPr>
            <sz val="11"/>
            <color theme="1"/>
            <rFont val="Calibri"/>
            <family val="2"/>
            <scheme val="minor"/>
          </rPr>
          <t>Introduzca la fecha prevista de adjudicación, en formato dd-mm-aaaa</t>
        </r>
      </text>
    </comment>
    <comment ref="F518" authorId="1">
      <text/>
    </comment>
    <comment ref="F519" authorId="1">
      <text/>
    </comment>
    <comment ref="A521" authorId="1">
      <text>
        <r>
          <rPr>
            <sz val="11"/>
            <color theme="1"/>
            <rFont val="Calibri"/>
            <family val="2"/>
            <scheme val="minor"/>
          </rPr>
          <t>Introduzca un codigo UNSPSC</t>
        </r>
      </text>
    </comment>
    <comment ref="B521" authorId="1">
      <text>
        <r>
          <rPr>
            <sz val="11"/>
            <color theme="1"/>
            <rFont val="Calibri"/>
            <family val="2"/>
            <scheme val="minor"/>
          </rPr>
          <t>Descripción calculada automáticamente a partir de código del artículo</t>
        </r>
      </text>
    </comment>
    <comment ref="C521" authorId="1">
      <text>
        <r>
          <rPr>
            <sz val="11"/>
            <color theme="1"/>
            <rFont val="Calibri"/>
            <family val="2"/>
            <scheme val="minor"/>
          </rPr>
          <t>Seleccione un valor de la lista</t>
        </r>
      </text>
    </comment>
    <comment ref="D521" authorId="1">
      <text>
        <r>
          <rPr>
            <sz val="11"/>
            <color theme="1"/>
            <rFont val="Calibri"/>
            <family val="2"/>
            <scheme val="minor"/>
          </rPr>
          <t>Introduzca un número con dos decimales como máximo. Debe ser igual o mayor a la "Cantidad Real Consumida"</t>
        </r>
      </text>
    </comment>
    <comment ref="E521" authorId="1">
      <text>
        <r>
          <rPr>
            <sz val="11"/>
            <color theme="1"/>
            <rFont val="Calibri"/>
            <family val="2"/>
            <scheme val="minor"/>
          </rPr>
          <t>Introduzca un número con dos decimales como máximo</t>
        </r>
      </text>
    </comment>
    <comment ref="F521" authorId="1">
      <text>
        <r>
          <rPr>
            <sz val="11"/>
            <color theme="1"/>
            <rFont val="Calibri"/>
            <family val="2"/>
            <scheme val="minor"/>
          </rPr>
          <t>Monto calculado automáticamente por el sistema</t>
        </r>
      </text>
    </comment>
    <comment ref="A526" authorId="1">
      <text>
        <r>
          <rPr>
            <sz val="11"/>
            <color theme="1"/>
            <rFont val="Calibri"/>
            <family val="2"/>
            <scheme val="minor"/>
          </rPr>
          <t>Introducir un texto con el nombre o referencia de la contratación</t>
        </r>
      </text>
    </comment>
    <comment ref="B526" authorId="1">
      <text>
        <r>
          <rPr>
            <sz val="11"/>
            <color theme="1"/>
            <rFont val="Calibri"/>
            <family val="2"/>
            <scheme val="minor"/>
          </rPr>
          <t>Introduzca un texto con la finalidad de la contratación</t>
        </r>
      </text>
    </comment>
    <comment ref="C526" authorId="1">
      <text>
        <r>
          <rPr>
            <sz val="11"/>
            <color theme="1"/>
            <rFont val="Calibri"/>
            <family val="2"/>
            <scheme val="minor"/>
          </rPr>
          <t>Seleccionar un valor del listado</t>
        </r>
      </text>
    </comment>
    <comment ref="D526" authorId="1">
      <text>
        <r>
          <rPr>
            <sz val="11"/>
            <color theme="1"/>
            <rFont val="Calibri"/>
            <family val="2"/>
            <scheme val="minor"/>
          </rPr>
          <t>Seleccione el tipo de procedimiento</t>
        </r>
      </text>
    </comment>
    <comment ref="E526" authorId="1">
      <text>
        <r>
          <rPr>
            <sz val="11"/>
            <color theme="1"/>
            <rFont val="Calibri"/>
            <family val="2"/>
            <scheme val="minor"/>
          </rPr>
          <t>Seleccione un valor de la lista</t>
        </r>
      </text>
    </comment>
    <comment ref="F526" authorId="1">
      <text>
        <r>
          <rPr>
            <sz val="11"/>
            <color theme="1"/>
            <rFont val="Calibri"/>
            <family val="2"/>
            <scheme val="minor"/>
          </rPr>
          <t>Introduzca el código SNIP</t>
        </r>
      </text>
    </comment>
    <comment ref="C527" authorId="1">
      <text>
        <r>
          <rPr>
            <sz val="11"/>
            <color theme="1"/>
            <rFont val="Calibri"/>
            <family val="2"/>
            <scheme val="minor"/>
          </rPr>
          <t>Introduzca la fecha de inicio del proceso, en formato dd-mm-aaaa</t>
        </r>
      </text>
    </comment>
    <comment ref="F52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8" authorId="1">
      <text/>
    </comment>
    <comment ref="C529" authorId="1">
      <text>
        <r>
          <rPr>
            <sz val="11"/>
            <color theme="1"/>
            <rFont val="Calibri"/>
            <family val="2"/>
            <scheme val="minor"/>
          </rPr>
          <t>Introduzca la fecha prevista de adjudicación, en formato dd-mm-aaaa</t>
        </r>
      </text>
    </comment>
    <comment ref="F529" authorId="1">
      <text/>
    </comment>
    <comment ref="F530" authorId="1">
      <text/>
    </comment>
    <comment ref="A532" authorId="1">
      <text>
        <r>
          <rPr>
            <sz val="11"/>
            <color theme="1"/>
            <rFont val="Calibri"/>
            <family val="2"/>
            <scheme val="minor"/>
          </rPr>
          <t>Introduzca un codigo UNSPSC</t>
        </r>
      </text>
    </comment>
    <comment ref="B532" authorId="1">
      <text>
        <r>
          <rPr>
            <sz val="11"/>
            <color theme="1"/>
            <rFont val="Calibri"/>
            <family val="2"/>
            <scheme val="minor"/>
          </rPr>
          <t>Descripción calculada automáticamente a partir de código del artículo</t>
        </r>
      </text>
    </comment>
    <comment ref="C532" authorId="1">
      <text>
        <r>
          <rPr>
            <sz val="11"/>
            <color theme="1"/>
            <rFont val="Calibri"/>
            <family val="2"/>
            <scheme val="minor"/>
          </rPr>
          <t>Seleccione un valor de la lista</t>
        </r>
      </text>
    </comment>
    <comment ref="D532" authorId="1">
      <text>
        <r>
          <rPr>
            <sz val="11"/>
            <color theme="1"/>
            <rFont val="Calibri"/>
            <family val="2"/>
            <scheme val="minor"/>
          </rPr>
          <t>Introduzca un número con dos decimales como máximo. Debe ser igual o mayor a la "Cantidad Real Consumida"</t>
        </r>
      </text>
    </comment>
    <comment ref="E532" authorId="1">
      <text>
        <r>
          <rPr>
            <sz val="11"/>
            <color theme="1"/>
            <rFont val="Calibri"/>
            <family val="2"/>
            <scheme val="minor"/>
          </rPr>
          <t>Introduzca un número con dos decimales como máximo</t>
        </r>
      </text>
    </comment>
    <comment ref="F532" authorId="1">
      <text>
        <r>
          <rPr>
            <sz val="11"/>
            <color theme="1"/>
            <rFont val="Calibri"/>
            <family val="2"/>
            <scheme val="minor"/>
          </rPr>
          <t>Monto calculado automáticamente por el sistema</t>
        </r>
      </text>
    </comment>
    <comment ref="A537" authorId="1">
      <text>
        <r>
          <rPr>
            <sz val="11"/>
            <color theme="1"/>
            <rFont val="Calibri"/>
            <family val="2"/>
            <scheme val="minor"/>
          </rPr>
          <t>Introducir un texto con el nombre o referencia de la contratación</t>
        </r>
      </text>
    </comment>
    <comment ref="B537" authorId="1">
      <text>
        <r>
          <rPr>
            <sz val="11"/>
            <color theme="1"/>
            <rFont val="Calibri"/>
            <family val="2"/>
            <scheme val="minor"/>
          </rPr>
          <t>Introduzca un texto con la finalidad de la contratación</t>
        </r>
      </text>
    </comment>
    <comment ref="C537" authorId="1">
      <text>
        <r>
          <rPr>
            <sz val="11"/>
            <color theme="1"/>
            <rFont val="Calibri"/>
            <family val="2"/>
            <scheme val="minor"/>
          </rPr>
          <t>Seleccionar un valor del listado</t>
        </r>
      </text>
    </comment>
    <comment ref="D537" authorId="1">
      <text>
        <r>
          <rPr>
            <sz val="11"/>
            <color theme="1"/>
            <rFont val="Calibri"/>
            <family val="2"/>
            <scheme val="minor"/>
          </rPr>
          <t>Seleccione el tipo de procedimiento</t>
        </r>
      </text>
    </comment>
    <comment ref="E537" authorId="1">
      <text>
        <r>
          <rPr>
            <sz val="11"/>
            <color theme="1"/>
            <rFont val="Calibri"/>
            <family val="2"/>
            <scheme val="minor"/>
          </rPr>
          <t>Seleccione un valor de la lista</t>
        </r>
      </text>
    </comment>
    <comment ref="F537" authorId="1">
      <text>
        <r>
          <rPr>
            <sz val="11"/>
            <color theme="1"/>
            <rFont val="Calibri"/>
            <family val="2"/>
            <scheme val="minor"/>
          </rPr>
          <t>Introduzca el código SNIP</t>
        </r>
      </text>
    </comment>
    <comment ref="C538" authorId="1">
      <text>
        <r>
          <rPr>
            <sz val="11"/>
            <color theme="1"/>
            <rFont val="Calibri"/>
            <family val="2"/>
            <scheme val="minor"/>
          </rPr>
          <t>Introduzca la fecha de inicio del proceso, en formato dd-mm-aaaa</t>
        </r>
      </text>
    </comment>
    <comment ref="F53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9" authorId="1">
      <text/>
    </comment>
    <comment ref="C540" authorId="1">
      <text>
        <r>
          <rPr>
            <sz val="11"/>
            <color theme="1"/>
            <rFont val="Calibri"/>
            <family val="2"/>
            <scheme val="minor"/>
          </rPr>
          <t>Introduzca la fecha prevista de adjudicación, en formato dd-mm-aaaa</t>
        </r>
      </text>
    </comment>
    <comment ref="F540" authorId="1">
      <text/>
    </comment>
    <comment ref="F541" authorId="1">
      <text/>
    </comment>
    <comment ref="A543" authorId="1">
      <text>
        <r>
          <rPr>
            <sz val="11"/>
            <color theme="1"/>
            <rFont val="Calibri"/>
            <family val="2"/>
            <scheme val="minor"/>
          </rPr>
          <t>Introduzca un codigo UNSPSC</t>
        </r>
      </text>
    </comment>
    <comment ref="B543" authorId="1">
      <text>
        <r>
          <rPr>
            <sz val="11"/>
            <color theme="1"/>
            <rFont val="Calibri"/>
            <family val="2"/>
            <scheme val="minor"/>
          </rPr>
          <t>Descripción calculada automáticamente a partir de código del artículo</t>
        </r>
      </text>
    </comment>
    <comment ref="C543" authorId="1">
      <text>
        <r>
          <rPr>
            <sz val="11"/>
            <color theme="1"/>
            <rFont val="Calibri"/>
            <family val="2"/>
            <scheme val="minor"/>
          </rPr>
          <t>Seleccione un valor de la lista</t>
        </r>
      </text>
    </comment>
    <comment ref="D543" authorId="1">
      <text>
        <r>
          <rPr>
            <sz val="11"/>
            <color theme="1"/>
            <rFont val="Calibri"/>
            <family val="2"/>
            <scheme val="minor"/>
          </rPr>
          <t>Introduzca un número con dos decimales como máximo. Debe ser igual o mayor a la "Cantidad Real Consumida"</t>
        </r>
      </text>
    </comment>
    <comment ref="E543" authorId="1">
      <text>
        <r>
          <rPr>
            <sz val="11"/>
            <color theme="1"/>
            <rFont val="Calibri"/>
            <family val="2"/>
            <scheme val="minor"/>
          </rPr>
          <t>Introduzca un número con dos decimales como máximo</t>
        </r>
      </text>
    </comment>
    <comment ref="F543" authorId="1">
      <text>
        <r>
          <rPr>
            <sz val="11"/>
            <color theme="1"/>
            <rFont val="Calibri"/>
            <family val="2"/>
            <scheme val="minor"/>
          </rPr>
          <t>Monto calculado automáticamente por el sistema</t>
        </r>
      </text>
    </comment>
    <comment ref="A548" authorId="1">
      <text>
        <r>
          <rPr>
            <sz val="11"/>
            <color theme="1"/>
            <rFont val="Calibri"/>
            <family val="2"/>
            <scheme val="minor"/>
          </rPr>
          <t>Introducir un texto con el nombre o referencia de la contratación</t>
        </r>
      </text>
    </comment>
    <comment ref="B548" authorId="1">
      <text>
        <r>
          <rPr>
            <sz val="11"/>
            <color theme="1"/>
            <rFont val="Calibri"/>
            <family val="2"/>
            <scheme val="minor"/>
          </rPr>
          <t>Introduzca un texto con la finalidad de la contratación</t>
        </r>
      </text>
    </comment>
    <comment ref="C548" authorId="1">
      <text>
        <r>
          <rPr>
            <sz val="11"/>
            <color theme="1"/>
            <rFont val="Calibri"/>
            <family val="2"/>
            <scheme val="minor"/>
          </rPr>
          <t>Seleccionar un valor del listado</t>
        </r>
      </text>
    </comment>
    <comment ref="D548" authorId="1">
      <text>
        <r>
          <rPr>
            <sz val="11"/>
            <color theme="1"/>
            <rFont val="Calibri"/>
            <family val="2"/>
            <scheme val="minor"/>
          </rPr>
          <t>Seleccione el tipo de procedimiento</t>
        </r>
      </text>
    </comment>
    <comment ref="E548" authorId="1">
      <text>
        <r>
          <rPr>
            <sz val="11"/>
            <color theme="1"/>
            <rFont val="Calibri"/>
            <family val="2"/>
            <scheme val="minor"/>
          </rPr>
          <t>Seleccione un valor de la lista</t>
        </r>
      </text>
    </comment>
    <comment ref="F548" authorId="1">
      <text>
        <r>
          <rPr>
            <sz val="11"/>
            <color theme="1"/>
            <rFont val="Calibri"/>
            <family val="2"/>
            <scheme val="minor"/>
          </rPr>
          <t>Introduzca el código SNIP</t>
        </r>
      </text>
    </comment>
    <comment ref="C549" authorId="1">
      <text>
        <r>
          <rPr>
            <sz val="11"/>
            <color theme="1"/>
            <rFont val="Calibri"/>
            <family val="2"/>
            <scheme val="minor"/>
          </rPr>
          <t>Introduzca la fecha de inicio del proceso, en formato dd-mm-aaaa</t>
        </r>
      </text>
    </comment>
    <comment ref="F54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0" authorId="1">
      <text/>
    </comment>
    <comment ref="C551" authorId="1">
      <text>
        <r>
          <rPr>
            <sz val="11"/>
            <color theme="1"/>
            <rFont val="Calibri"/>
            <family val="2"/>
            <scheme val="minor"/>
          </rPr>
          <t>Introduzca la fecha prevista de adjudicación, en formato dd-mm-aaaa</t>
        </r>
      </text>
    </comment>
    <comment ref="F551" authorId="1">
      <text/>
    </comment>
    <comment ref="F552" authorId="1">
      <text/>
    </comment>
    <comment ref="A554" authorId="1">
      <text>
        <r>
          <rPr>
            <sz val="11"/>
            <color theme="1"/>
            <rFont val="Calibri"/>
            <family val="2"/>
            <scheme val="minor"/>
          </rPr>
          <t>Introduzca un codigo UNSPSC</t>
        </r>
      </text>
    </comment>
    <comment ref="B554" authorId="1">
      <text>
        <r>
          <rPr>
            <sz val="11"/>
            <color theme="1"/>
            <rFont val="Calibri"/>
            <family val="2"/>
            <scheme val="minor"/>
          </rPr>
          <t>Descripción calculada automáticamente a partir de código del artículo</t>
        </r>
      </text>
    </comment>
    <comment ref="C554" authorId="1">
      <text>
        <r>
          <rPr>
            <sz val="11"/>
            <color theme="1"/>
            <rFont val="Calibri"/>
            <family val="2"/>
            <scheme val="minor"/>
          </rPr>
          <t>Seleccione un valor de la lista</t>
        </r>
      </text>
    </comment>
    <comment ref="D554" authorId="1">
      <text>
        <r>
          <rPr>
            <sz val="11"/>
            <color theme="1"/>
            <rFont val="Calibri"/>
            <family val="2"/>
            <scheme val="minor"/>
          </rPr>
          <t>Introduzca un número con dos decimales como máximo. Debe ser igual o mayor a la "Cantidad Real Consumida"</t>
        </r>
      </text>
    </comment>
    <comment ref="E554" authorId="1">
      <text>
        <r>
          <rPr>
            <sz val="11"/>
            <color theme="1"/>
            <rFont val="Calibri"/>
            <family val="2"/>
            <scheme val="minor"/>
          </rPr>
          <t>Introduzca un número con dos decimales como máximo</t>
        </r>
      </text>
    </comment>
    <comment ref="F554" authorId="1">
      <text>
        <r>
          <rPr>
            <sz val="11"/>
            <color theme="1"/>
            <rFont val="Calibri"/>
            <family val="2"/>
            <scheme val="minor"/>
          </rPr>
          <t>Monto calculado automáticamente por el sistema</t>
        </r>
      </text>
    </comment>
    <comment ref="A559" authorId="1">
      <text>
        <r>
          <rPr>
            <sz val="11"/>
            <color theme="1"/>
            <rFont val="Calibri"/>
            <family val="2"/>
            <scheme val="minor"/>
          </rPr>
          <t>Introducir un texto con el nombre o referencia de la contratación</t>
        </r>
      </text>
    </comment>
    <comment ref="B559" authorId="1">
      <text>
        <r>
          <rPr>
            <sz val="11"/>
            <color theme="1"/>
            <rFont val="Calibri"/>
            <family val="2"/>
            <scheme val="minor"/>
          </rPr>
          <t>Introduzca un texto con la finalidad de la contratación</t>
        </r>
      </text>
    </comment>
    <comment ref="C559" authorId="1">
      <text>
        <r>
          <rPr>
            <sz val="11"/>
            <color theme="1"/>
            <rFont val="Calibri"/>
            <family val="2"/>
            <scheme val="minor"/>
          </rPr>
          <t>Seleccionar un valor del listado</t>
        </r>
      </text>
    </comment>
    <comment ref="D559" authorId="1">
      <text>
        <r>
          <rPr>
            <sz val="11"/>
            <color theme="1"/>
            <rFont val="Calibri"/>
            <family val="2"/>
            <scheme val="minor"/>
          </rPr>
          <t>Seleccione el tipo de procedimiento</t>
        </r>
      </text>
    </comment>
    <comment ref="E559" authorId="1">
      <text>
        <r>
          <rPr>
            <sz val="11"/>
            <color theme="1"/>
            <rFont val="Calibri"/>
            <family val="2"/>
            <scheme val="minor"/>
          </rPr>
          <t>Seleccione un valor de la lista</t>
        </r>
      </text>
    </comment>
    <comment ref="F559" authorId="1">
      <text>
        <r>
          <rPr>
            <sz val="11"/>
            <color theme="1"/>
            <rFont val="Calibri"/>
            <family val="2"/>
            <scheme val="minor"/>
          </rPr>
          <t>Introduzca el código SNIP</t>
        </r>
      </text>
    </comment>
    <comment ref="C560" authorId="1">
      <text>
        <r>
          <rPr>
            <sz val="11"/>
            <color theme="1"/>
            <rFont val="Calibri"/>
            <family val="2"/>
            <scheme val="minor"/>
          </rPr>
          <t>Introduzca la fecha de inicio del proceso, en formato dd-mm-aaaa</t>
        </r>
      </text>
    </comment>
    <comment ref="F56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1" authorId="1">
      <text/>
    </comment>
    <comment ref="C562" authorId="1">
      <text>
        <r>
          <rPr>
            <sz val="11"/>
            <color theme="1"/>
            <rFont val="Calibri"/>
            <family val="2"/>
            <scheme val="minor"/>
          </rPr>
          <t>Introduzca la fecha prevista de adjudicación, en formato dd-mm-aaaa</t>
        </r>
      </text>
    </comment>
    <comment ref="F562" authorId="1">
      <text/>
    </comment>
    <comment ref="F563" authorId="1">
      <text/>
    </comment>
    <comment ref="A565" authorId="1">
      <text>
        <r>
          <rPr>
            <sz val="11"/>
            <color theme="1"/>
            <rFont val="Calibri"/>
            <family val="2"/>
            <scheme val="minor"/>
          </rPr>
          <t>Introduzca un codigo UNSPSC</t>
        </r>
      </text>
    </comment>
    <comment ref="B565" authorId="1">
      <text>
        <r>
          <rPr>
            <sz val="11"/>
            <color theme="1"/>
            <rFont val="Calibri"/>
            <family val="2"/>
            <scheme val="minor"/>
          </rPr>
          <t>Descripción calculada automáticamente a partir de código del artículo</t>
        </r>
      </text>
    </comment>
    <comment ref="C565" authorId="1">
      <text>
        <r>
          <rPr>
            <sz val="11"/>
            <color theme="1"/>
            <rFont val="Calibri"/>
            <family val="2"/>
            <scheme val="minor"/>
          </rPr>
          <t>Seleccione un valor de la lista</t>
        </r>
      </text>
    </comment>
    <comment ref="D565" authorId="1">
      <text>
        <r>
          <rPr>
            <sz val="11"/>
            <color theme="1"/>
            <rFont val="Calibri"/>
            <family val="2"/>
            <scheme val="minor"/>
          </rPr>
          <t>Introduzca un número con dos decimales como máximo. Debe ser igual o mayor a la "Cantidad Real Consumida"</t>
        </r>
      </text>
    </comment>
    <comment ref="E565" authorId="1">
      <text>
        <r>
          <rPr>
            <sz val="11"/>
            <color theme="1"/>
            <rFont val="Calibri"/>
            <family val="2"/>
            <scheme val="minor"/>
          </rPr>
          <t>Introduzca un número con dos decimales como máximo</t>
        </r>
      </text>
    </comment>
    <comment ref="F565" authorId="1">
      <text>
        <r>
          <rPr>
            <sz val="11"/>
            <color theme="1"/>
            <rFont val="Calibri"/>
            <family val="2"/>
            <scheme val="minor"/>
          </rPr>
          <t>Monto calculado automáticamente por el sistema</t>
        </r>
      </text>
    </comment>
    <comment ref="A570" authorId="1">
      <text>
        <r>
          <rPr>
            <sz val="11"/>
            <color theme="1"/>
            <rFont val="Calibri"/>
            <family val="2"/>
            <scheme val="minor"/>
          </rPr>
          <t>Introducir un texto con el nombre o referencia de la contratación</t>
        </r>
      </text>
    </comment>
    <comment ref="B570" authorId="1">
      <text>
        <r>
          <rPr>
            <sz val="11"/>
            <color theme="1"/>
            <rFont val="Calibri"/>
            <family val="2"/>
            <scheme val="minor"/>
          </rPr>
          <t>Introduzca un texto con la finalidad de la contratación</t>
        </r>
      </text>
    </comment>
    <comment ref="C570" authorId="1">
      <text>
        <r>
          <rPr>
            <sz val="11"/>
            <color theme="1"/>
            <rFont val="Calibri"/>
            <family val="2"/>
            <scheme val="minor"/>
          </rPr>
          <t>Seleccionar un valor del listado</t>
        </r>
      </text>
    </comment>
    <comment ref="D570" authorId="1">
      <text>
        <r>
          <rPr>
            <sz val="11"/>
            <color theme="1"/>
            <rFont val="Calibri"/>
            <family val="2"/>
            <scheme val="minor"/>
          </rPr>
          <t>Seleccione el tipo de procedimiento</t>
        </r>
      </text>
    </comment>
    <comment ref="E570" authorId="1">
      <text>
        <r>
          <rPr>
            <sz val="11"/>
            <color theme="1"/>
            <rFont val="Calibri"/>
            <family val="2"/>
            <scheme val="minor"/>
          </rPr>
          <t>Seleccione un valor de la lista</t>
        </r>
      </text>
    </comment>
    <comment ref="F570" authorId="1">
      <text>
        <r>
          <rPr>
            <sz val="11"/>
            <color theme="1"/>
            <rFont val="Calibri"/>
            <family val="2"/>
            <scheme val="minor"/>
          </rPr>
          <t>Introduzca el código SNIP</t>
        </r>
      </text>
    </comment>
    <comment ref="C571" authorId="1">
      <text>
        <r>
          <rPr>
            <sz val="11"/>
            <color theme="1"/>
            <rFont val="Calibri"/>
            <family val="2"/>
            <scheme val="minor"/>
          </rPr>
          <t>Introduzca la fecha de inicio del proceso, en formato dd-mm-aaaa</t>
        </r>
      </text>
    </comment>
    <comment ref="F57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2" authorId="1">
      <text/>
    </comment>
    <comment ref="C573" authorId="1">
      <text>
        <r>
          <rPr>
            <sz val="11"/>
            <color theme="1"/>
            <rFont val="Calibri"/>
            <family val="2"/>
            <scheme val="minor"/>
          </rPr>
          <t>Introduzca la fecha prevista de adjudicación, en formato dd-mm-aaaa</t>
        </r>
      </text>
    </comment>
    <comment ref="F573" authorId="1">
      <text/>
    </comment>
    <comment ref="F574" authorId="1">
      <text/>
    </comment>
    <comment ref="A576" authorId="1">
      <text>
        <r>
          <rPr>
            <sz val="11"/>
            <color theme="1"/>
            <rFont val="Calibri"/>
            <family val="2"/>
            <scheme val="minor"/>
          </rPr>
          <t>Introduzca un codigo UNSPSC</t>
        </r>
      </text>
    </comment>
    <comment ref="B576" authorId="1">
      <text>
        <r>
          <rPr>
            <sz val="11"/>
            <color theme="1"/>
            <rFont val="Calibri"/>
            <family val="2"/>
            <scheme val="minor"/>
          </rPr>
          <t>Descripción calculada automáticamente a partir de código del artículo</t>
        </r>
      </text>
    </comment>
    <comment ref="C576" authorId="1">
      <text>
        <r>
          <rPr>
            <sz val="11"/>
            <color theme="1"/>
            <rFont val="Calibri"/>
            <family val="2"/>
            <scheme val="minor"/>
          </rPr>
          <t>Seleccione un valor de la lista</t>
        </r>
      </text>
    </comment>
    <comment ref="D576" authorId="1">
      <text>
        <r>
          <rPr>
            <sz val="11"/>
            <color theme="1"/>
            <rFont val="Calibri"/>
            <family val="2"/>
            <scheme val="minor"/>
          </rPr>
          <t>Introduzca un número con dos decimales como máximo. Debe ser igual o mayor a la "Cantidad Real Consumida"</t>
        </r>
      </text>
    </comment>
    <comment ref="E576" authorId="1">
      <text>
        <r>
          <rPr>
            <sz val="11"/>
            <color theme="1"/>
            <rFont val="Calibri"/>
            <family val="2"/>
            <scheme val="minor"/>
          </rPr>
          <t>Introduzca un número con dos decimales como máximo</t>
        </r>
      </text>
    </comment>
    <comment ref="F576" authorId="1">
      <text>
        <r>
          <rPr>
            <sz val="11"/>
            <color theme="1"/>
            <rFont val="Calibri"/>
            <family val="2"/>
            <scheme val="minor"/>
          </rPr>
          <t>Monto calculado automáticamente por el sistema</t>
        </r>
      </text>
    </comment>
    <comment ref="A581" authorId="1">
      <text>
        <r>
          <rPr>
            <sz val="11"/>
            <color theme="1"/>
            <rFont val="Calibri"/>
            <family val="2"/>
            <scheme val="minor"/>
          </rPr>
          <t>Introducir un texto con el nombre o referencia de la contratación</t>
        </r>
      </text>
    </comment>
    <comment ref="B581" authorId="1">
      <text>
        <r>
          <rPr>
            <sz val="11"/>
            <color theme="1"/>
            <rFont val="Calibri"/>
            <family val="2"/>
            <scheme val="minor"/>
          </rPr>
          <t>Introduzca un texto con la finalidad de la contratación</t>
        </r>
      </text>
    </comment>
    <comment ref="C581" authorId="1">
      <text>
        <r>
          <rPr>
            <sz val="11"/>
            <color theme="1"/>
            <rFont val="Calibri"/>
            <family val="2"/>
            <scheme val="minor"/>
          </rPr>
          <t>Seleccionar un valor del listado</t>
        </r>
      </text>
    </comment>
    <comment ref="D581" authorId="1">
      <text>
        <r>
          <rPr>
            <sz val="11"/>
            <color theme="1"/>
            <rFont val="Calibri"/>
            <family val="2"/>
            <scheme val="minor"/>
          </rPr>
          <t>Seleccione el tipo de procedimiento</t>
        </r>
      </text>
    </comment>
    <comment ref="E581" authorId="1">
      <text>
        <r>
          <rPr>
            <sz val="11"/>
            <color theme="1"/>
            <rFont val="Calibri"/>
            <family val="2"/>
            <scheme val="minor"/>
          </rPr>
          <t>Seleccione un valor de la lista</t>
        </r>
      </text>
    </comment>
    <comment ref="F581" authorId="1">
      <text>
        <r>
          <rPr>
            <sz val="11"/>
            <color theme="1"/>
            <rFont val="Calibri"/>
            <family val="2"/>
            <scheme val="minor"/>
          </rPr>
          <t>Introduzca el código SNIP</t>
        </r>
      </text>
    </comment>
    <comment ref="C582" authorId="1">
      <text>
        <r>
          <rPr>
            <sz val="11"/>
            <color theme="1"/>
            <rFont val="Calibri"/>
            <family val="2"/>
            <scheme val="minor"/>
          </rPr>
          <t>Introduzca la fecha de inicio del proceso, en formato dd-mm-aaaa</t>
        </r>
      </text>
    </comment>
    <comment ref="F58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3" authorId="1">
      <text/>
    </comment>
    <comment ref="C584" authorId="1">
      <text>
        <r>
          <rPr>
            <sz val="11"/>
            <color theme="1"/>
            <rFont val="Calibri"/>
            <family val="2"/>
            <scheme val="minor"/>
          </rPr>
          <t>Introduzca la fecha prevista de adjudicación, en formato dd-mm-aaaa</t>
        </r>
      </text>
    </comment>
    <comment ref="F584" authorId="1">
      <text/>
    </comment>
    <comment ref="F585" authorId="1">
      <text/>
    </comment>
    <comment ref="A587" authorId="1">
      <text>
        <r>
          <rPr>
            <sz val="11"/>
            <color theme="1"/>
            <rFont val="Calibri"/>
            <family val="2"/>
            <scheme val="minor"/>
          </rPr>
          <t>Introduzca un codigo UNSPSC</t>
        </r>
      </text>
    </comment>
    <comment ref="B587" authorId="1">
      <text>
        <r>
          <rPr>
            <sz val="11"/>
            <color theme="1"/>
            <rFont val="Calibri"/>
            <family val="2"/>
            <scheme val="minor"/>
          </rPr>
          <t>Descripción calculada automáticamente a partir de código del artículo</t>
        </r>
      </text>
    </comment>
    <comment ref="C587" authorId="1">
      <text>
        <r>
          <rPr>
            <sz val="11"/>
            <color theme="1"/>
            <rFont val="Calibri"/>
            <family val="2"/>
            <scheme val="minor"/>
          </rPr>
          <t>Seleccione un valor de la lista</t>
        </r>
      </text>
    </comment>
    <comment ref="D587" authorId="1">
      <text>
        <r>
          <rPr>
            <sz val="11"/>
            <color theme="1"/>
            <rFont val="Calibri"/>
            <family val="2"/>
            <scheme val="minor"/>
          </rPr>
          <t>Introduzca un número con dos decimales como máximo. Debe ser igual o mayor a la "Cantidad Real Consumida"</t>
        </r>
      </text>
    </comment>
    <comment ref="E587" authorId="1">
      <text>
        <r>
          <rPr>
            <sz val="11"/>
            <color theme="1"/>
            <rFont val="Calibri"/>
            <family val="2"/>
            <scheme val="minor"/>
          </rPr>
          <t>Introduzca un número con dos decimales como máximo</t>
        </r>
      </text>
    </comment>
    <comment ref="F587" authorId="1">
      <text>
        <r>
          <rPr>
            <sz val="11"/>
            <color theme="1"/>
            <rFont val="Calibri"/>
            <family val="2"/>
            <scheme val="minor"/>
          </rPr>
          <t>Monto calculado automáticamente por el sistema</t>
        </r>
      </text>
    </comment>
    <comment ref="A592" authorId="1">
      <text>
        <r>
          <rPr>
            <sz val="11"/>
            <color theme="1"/>
            <rFont val="Calibri"/>
            <family val="2"/>
            <scheme val="minor"/>
          </rPr>
          <t>Introducir un texto con el nombre o referencia de la contratación</t>
        </r>
      </text>
    </comment>
    <comment ref="B592" authorId="1">
      <text>
        <r>
          <rPr>
            <sz val="11"/>
            <color theme="1"/>
            <rFont val="Calibri"/>
            <family val="2"/>
            <scheme val="minor"/>
          </rPr>
          <t>Introduzca un texto con la finalidad de la contratación</t>
        </r>
      </text>
    </comment>
    <comment ref="C592" authorId="1">
      <text>
        <r>
          <rPr>
            <sz val="11"/>
            <color theme="1"/>
            <rFont val="Calibri"/>
            <family val="2"/>
            <scheme val="minor"/>
          </rPr>
          <t>Seleccionar un valor del listado</t>
        </r>
      </text>
    </comment>
    <comment ref="D592" authorId="1">
      <text>
        <r>
          <rPr>
            <sz val="11"/>
            <color theme="1"/>
            <rFont val="Calibri"/>
            <family val="2"/>
            <scheme val="minor"/>
          </rPr>
          <t>Seleccione el tipo de procedimiento</t>
        </r>
      </text>
    </comment>
    <comment ref="E592" authorId="1">
      <text>
        <r>
          <rPr>
            <sz val="11"/>
            <color theme="1"/>
            <rFont val="Calibri"/>
            <family val="2"/>
            <scheme val="minor"/>
          </rPr>
          <t>Seleccione un valor de la lista</t>
        </r>
      </text>
    </comment>
    <comment ref="F592" authorId="1">
      <text>
        <r>
          <rPr>
            <sz val="11"/>
            <color theme="1"/>
            <rFont val="Calibri"/>
            <family val="2"/>
            <scheme val="minor"/>
          </rPr>
          <t>Introduzca el código SNIP</t>
        </r>
      </text>
    </comment>
    <comment ref="C593" authorId="1">
      <text>
        <r>
          <rPr>
            <sz val="11"/>
            <color theme="1"/>
            <rFont val="Calibri"/>
            <family val="2"/>
            <scheme val="minor"/>
          </rPr>
          <t>Introduzca la fecha de inicio del proceso, en formato dd-mm-aaaa</t>
        </r>
      </text>
    </comment>
    <comment ref="F59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4" authorId="1">
      <text/>
    </comment>
    <comment ref="C595" authorId="1">
      <text>
        <r>
          <rPr>
            <sz val="11"/>
            <color theme="1"/>
            <rFont val="Calibri"/>
            <family val="2"/>
            <scheme val="minor"/>
          </rPr>
          <t>Introduzca la fecha prevista de adjudicación, en formato dd-mm-aaaa</t>
        </r>
      </text>
    </comment>
    <comment ref="F595" authorId="1">
      <text/>
    </comment>
    <comment ref="F596" authorId="1">
      <text/>
    </comment>
    <comment ref="A598" authorId="1">
      <text>
        <r>
          <rPr>
            <sz val="11"/>
            <color theme="1"/>
            <rFont val="Calibri"/>
            <family val="2"/>
            <scheme val="minor"/>
          </rPr>
          <t>Introduzca un codigo UNSPSC</t>
        </r>
      </text>
    </comment>
    <comment ref="B598" authorId="1">
      <text>
        <r>
          <rPr>
            <sz val="11"/>
            <color theme="1"/>
            <rFont val="Calibri"/>
            <family val="2"/>
            <scheme val="minor"/>
          </rPr>
          <t>Descripción calculada automáticamente a partir de código del artículo</t>
        </r>
      </text>
    </comment>
    <comment ref="C598" authorId="1">
      <text>
        <r>
          <rPr>
            <sz val="11"/>
            <color theme="1"/>
            <rFont val="Calibri"/>
            <family val="2"/>
            <scheme val="minor"/>
          </rPr>
          <t>Seleccione un valor de la lista</t>
        </r>
      </text>
    </comment>
    <comment ref="D598" authorId="1">
      <text>
        <r>
          <rPr>
            <sz val="11"/>
            <color theme="1"/>
            <rFont val="Calibri"/>
            <family val="2"/>
            <scheme val="minor"/>
          </rPr>
          <t>Introduzca un número con dos decimales como máximo. Debe ser igual o mayor a la "Cantidad Real Consumida"</t>
        </r>
      </text>
    </comment>
    <comment ref="E598" authorId="1">
      <text>
        <r>
          <rPr>
            <sz val="11"/>
            <color theme="1"/>
            <rFont val="Calibri"/>
            <family val="2"/>
            <scheme val="minor"/>
          </rPr>
          <t>Introduzca un número con dos decimales como máximo</t>
        </r>
      </text>
    </comment>
    <comment ref="F598" authorId="1">
      <text>
        <r>
          <rPr>
            <sz val="11"/>
            <color theme="1"/>
            <rFont val="Calibri"/>
            <family val="2"/>
            <scheme val="minor"/>
          </rPr>
          <t>Monto calculado automáticamente por el sistema</t>
        </r>
      </text>
    </comment>
    <comment ref="A603" authorId="1">
      <text>
        <r>
          <rPr>
            <sz val="11"/>
            <color theme="1"/>
            <rFont val="Calibri"/>
            <family val="2"/>
            <scheme val="minor"/>
          </rPr>
          <t>Introducir un texto con el nombre o referencia de la contratación</t>
        </r>
      </text>
    </comment>
    <comment ref="B603" authorId="1">
      <text>
        <r>
          <rPr>
            <sz val="11"/>
            <color theme="1"/>
            <rFont val="Calibri"/>
            <family val="2"/>
            <scheme val="minor"/>
          </rPr>
          <t>Introduzca un texto con la finalidad de la contratación</t>
        </r>
      </text>
    </comment>
    <comment ref="C603" authorId="1">
      <text>
        <r>
          <rPr>
            <sz val="11"/>
            <color theme="1"/>
            <rFont val="Calibri"/>
            <family val="2"/>
            <scheme val="minor"/>
          </rPr>
          <t>Seleccionar un valor del listado</t>
        </r>
      </text>
    </comment>
    <comment ref="D603" authorId="1">
      <text>
        <r>
          <rPr>
            <sz val="11"/>
            <color theme="1"/>
            <rFont val="Calibri"/>
            <family val="2"/>
            <scheme val="minor"/>
          </rPr>
          <t>Seleccione el tipo de procedimiento</t>
        </r>
      </text>
    </comment>
    <comment ref="E603" authorId="1">
      <text>
        <r>
          <rPr>
            <sz val="11"/>
            <color theme="1"/>
            <rFont val="Calibri"/>
            <family val="2"/>
            <scheme val="minor"/>
          </rPr>
          <t>Seleccione un valor de la lista</t>
        </r>
      </text>
    </comment>
    <comment ref="F603" authorId="1">
      <text>
        <r>
          <rPr>
            <sz val="11"/>
            <color theme="1"/>
            <rFont val="Calibri"/>
            <family val="2"/>
            <scheme val="minor"/>
          </rPr>
          <t>Introduzca el código SNIP</t>
        </r>
      </text>
    </comment>
    <comment ref="C604" authorId="1">
      <text>
        <r>
          <rPr>
            <sz val="11"/>
            <color theme="1"/>
            <rFont val="Calibri"/>
            <family val="2"/>
            <scheme val="minor"/>
          </rPr>
          <t>Introduzca la fecha de inicio del proceso, en formato dd-mm-aaaa</t>
        </r>
      </text>
    </comment>
    <comment ref="F60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5" authorId="1">
      <text/>
    </comment>
    <comment ref="C606" authorId="1">
      <text>
        <r>
          <rPr>
            <sz val="11"/>
            <color theme="1"/>
            <rFont val="Calibri"/>
            <family val="2"/>
            <scheme val="minor"/>
          </rPr>
          <t>Introduzca la fecha prevista de adjudicación, en formato dd-mm-aaaa</t>
        </r>
      </text>
    </comment>
    <comment ref="F606" authorId="1">
      <text/>
    </comment>
    <comment ref="F607" authorId="1">
      <text/>
    </comment>
    <comment ref="A609" authorId="1">
      <text>
        <r>
          <rPr>
            <sz val="11"/>
            <color theme="1"/>
            <rFont val="Calibri"/>
            <family val="2"/>
            <scheme val="minor"/>
          </rPr>
          <t>Introduzca un codigo UNSPSC</t>
        </r>
      </text>
    </comment>
    <comment ref="B609" authorId="1">
      <text>
        <r>
          <rPr>
            <sz val="11"/>
            <color theme="1"/>
            <rFont val="Calibri"/>
            <family val="2"/>
            <scheme val="minor"/>
          </rPr>
          <t>Descripción calculada automáticamente a partir de código del artículo</t>
        </r>
      </text>
    </comment>
    <comment ref="C609" authorId="1">
      <text>
        <r>
          <rPr>
            <sz val="11"/>
            <color theme="1"/>
            <rFont val="Calibri"/>
            <family val="2"/>
            <scheme val="minor"/>
          </rPr>
          <t>Seleccione un valor de la lista</t>
        </r>
      </text>
    </comment>
    <comment ref="D609" authorId="1">
      <text>
        <r>
          <rPr>
            <sz val="11"/>
            <color theme="1"/>
            <rFont val="Calibri"/>
            <family val="2"/>
            <scheme val="minor"/>
          </rPr>
          <t>Introduzca un número con dos decimales como máximo. Debe ser igual o mayor a la "Cantidad Real Consumida"</t>
        </r>
      </text>
    </comment>
    <comment ref="E609" authorId="1">
      <text>
        <r>
          <rPr>
            <sz val="11"/>
            <color theme="1"/>
            <rFont val="Calibri"/>
            <family val="2"/>
            <scheme val="minor"/>
          </rPr>
          <t>Introduzca un número con dos decimales como máximo</t>
        </r>
      </text>
    </comment>
    <comment ref="F609" authorId="1">
      <text>
        <r>
          <rPr>
            <sz val="11"/>
            <color theme="1"/>
            <rFont val="Calibri"/>
            <family val="2"/>
            <scheme val="minor"/>
          </rPr>
          <t>Monto calculado automáticamente por el sistema</t>
        </r>
      </text>
    </comment>
    <comment ref="A614" authorId="1">
      <text>
        <r>
          <rPr>
            <sz val="11"/>
            <color theme="1"/>
            <rFont val="Calibri"/>
            <family val="2"/>
            <scheme val="minor"/>
          </rPr>
          <t>Introducir un texto con el nombre o referencia de la contratación</t>
        </r>
      </text>
    </comment>
    <comment ref="B614" authorId="1">
      <text>
        <r>
          <rPr>
            <sz val="11"/>
            <color theme="1"/>
            <rFont val="Calibri"/>
            <family val="2"/>
            <scheme val="minor"/>
          </rPr>
          <t>Introduzca un texto con la finalidad de la contratación</t>
        </r>
      </text>
    </comment>
    <comment ref="C614" authorId="1">
      <text>
        <r>
          <rPr>
            <sz val="11"/>
            <color theme="1"/>
            <rFont val="Calibri"/>
            <family val="2"/>
            <scheme val="minor"/>
          </rPr>
          <t>Seleccionar un valor del listado</t>
        </r>
      </text>
    </comment>
    <comment ref="D614" authorId="1">
      <text>
        <r>
          <rPr>
            <sz val="11"/>
            <color theme="1"/>
            <rFont val="Calibri"/>
            <family val="2"/>
            <scheme val="minor"/>
          </rPr>
          <t>Seleccione el tipo de procedimiento</t>
        </r>
      </text>
    </comment>
    <comment ref="E614" authorId="1">
      <text>
        <r>
          <rPr>
            <sz val="11"/>
            <color theme="1"/>
            <rFont val="Calibri"/>
            <family val="2"/>
            <scheme val="minor"/>
          </rPr>
          <t>Seleccione un valor de la lista</t>
        </r>
      </text>
    </comment>
    <comment ref="F614" authorId="1">
      <text>
        <r>
          <rPr>
            <sz val="11"/>
            <color theme="1"/>
            <rFont val="Calibri"/>
            <family val="2"/>
            <scheme val="minor"/>
          </rPr>
          <t>Introduzca el código SNIP</t>
        </r>
      </text>
    </comment>
    <comment ref="C615" authorId="1">
      <text>
        <r>
          <rPr>
            <sz val="11"/>
            <color theme="1"/>
            <rFont val="Calibri"/>
            <family val="2"/>
            <scheme val="minor"/>
          </rPr>
          <t>Introduzca la fecha de inicio del proceso, en formato dd-mm-aaaa</t>
        </r>
      </text>
    </comment>
    <comment ref="F61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6" authorId="1">
      <text/>
    </comment>
    <comment ref="C617" authorId="1">
      <text>
        <r>
          <rPr>
            <sz val="11"/>
            <color theme="1"/>
            <rFont val="Calibri"/>
            <family val="2"/>
            <scheme val="minor"/>
          </rPr>
          <t>Introduzca la fecha prevista de adjudicación, en formato dd-mm-aaaa</t>
        </r>
      </text>
    </comment>
    <comment ref="F617" authorId="1">
      <text/>
    </comment>
    <comment ref="F618" authorId="1">
      <text/>
    </comment>
    <comment ref="A620" authorId="1">
      <text>
        <r>
          <rPr>
            <sz val="11"/>
            <color theme="1"/>
            <rFont val="Calibri"/>
            <family val="2"/>
            <scheme val="minor"/>
          </rPr>
          <t>Introduzca un codigo UNSPSC</t>
        </r>
      </text>
    </comment>
    <comment ref="B620" authorId="1">
      <text>
        <r>
          <rPr>
            <sz val="11"/>
            <color theme="1"/>
            <rFont val="Calibri"/>
            <family val="2"/>
            <scheme val="minor"/>
          </rPr>
          <t>Descripción calculada automáticamente a partir de código del artículo</t>
        </r>
      </text>
    </comment>
    <comment ref="C620" authorId="1">
      <text>
        <r>
          <rPr>
            <sz val="11"/>
            <color theme="1"/>
            <rFont val="Calibri"/>
            <family val="2"/>
            <scheme val="minor"/>
          </rPr>
          <t>Seleccione un valor de la lista</t>
        </r>
      </text>
    </comment>
    <comment ref="D620" authorId="1">
      <text>
        <r>
          <rPr>
            <sz val="11"/>
            <color theme="1"/>
            <rFont val="Calibri"/>
            <family val="2"/>
            <scheme val="minor"/>
          </rPr>
          <t>Introduzca un número con dos decimales como máximo. Debe ser igual o mayor a la "Cantidad Real Consumida"</t>
        </r>
      </text>
    </comment>
    <comment ref="E620" authorId="1">
      <text>
        <r>
          <rPr>
            <sz val="11"/>
            <color theme="1"/>
            <rFont val="Calibri"/>
            <family val="2"/>
            <scheme val="minor"/>
          </rPr>
          <t>Introduzca un número con dos decimales como máximo</t>
        </r>
      </text>
    </comment>
    <comment ref="F620" authorId="1">
      <text>
        <r>
          <rPr>
            <sz val="11"/>
            <color theme="1"/>
            <rFont val="Calibri"/>
            <family val="2"/>
            <scheme val="minor"/>
          </rPr>
          <t>Monto calculado automáticamente por el sistema</t>
        </r>
      </text>
    </comment>
    <comment ref="A625" authorId="1">
      <text>
        <r>
          <rPr>
            <sz val="11"/>
            <color theme="1"/>
            <rFont val="Calibri"/>
            <family val="2"/>
            <scheme val="minor"/>
          </rPr>
          <t>Introducir un texto con el nombre o referencia de la contratación</t>
        </r>
      </text>
    </comment>
    <comment ref="B625" authorId="1">
      <text>
        <r>
          <rPr>
            <sz val="11"/>
            <color theme="1"/>
            <rFont val="Calibri"/>
            <family val="2"/>
            <scheme val="minor"/>
          </rPr>
          <t>Introduzca un texto con la finalidad de la contratación</t>
        </r>
      </text>
    </comment>
    <comment ref="C625" authorId="1">
      <text>
        <r>
          <rPr>
            <sz val="11"/>
            <color theme="1"/>
            <rFont val="Calibri"/>
            <family val="2"/>
            <scheme val="minor"/>
          </rPr>
          <t>Seleccionar un valor del listado</t>
        </r>
      </text>
    </comment>
    <comment ref="D625" authorId="1">
      <text>
        <r>
          <rPr>
            <sz val="11"/>
            <color theme="1"/>
            <rFont val="Calibri"/>
            <family val="2"/>
            <scheme val="minor"/>
          </rPr>
          <t>Seleccione el tipo de procedimiento</t>
        </r>
      </text>
    </comment>
    <comment ref="E625" authorId="1">
      <text>
        <r>
          <rPr>
            <sz val="11"/>
            <color theme="1"/>
            <rFont val="Calibri"/>
            <family val="2"/>
            <scheme val="minor"/>
          </rPr>
          <t>Seleccione un valor de la lista</t>
        </r>
      </text>
    </comment>
    <comment ref="F625" authorId="1">
      <text>
        <r>
          <rPr>
            <sz val="11"/>
            <color theme="1"/>
            <rFont val="Calibri"/>
            <family val="2"/>
            <scheme val="minor"/>
          </rPr>
          <t>Introduzca el código SNIP</t>
        </r>
      </text>
    </comment>
    <comment ref="C626" authorId="1">
      <text>
        <r>
          <rPr>
            <sz val="11"/>
            <color theme="1"/>
            <rFont val="Calibri"/>
            <family val="2"/>
            <scheme val="minor"/>
          </rPr>
          <t>Introduzca la fecha de inicio del proceso, en formato dd-mm-aaaa</t>
        </r>
      </text>
    </comment>
    <comment ref="F62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7" authorId="1">
      <text/>
    </comment>
    <comment ref="C628" authorId="1">
      <text>
        <r>
          <rPr>
            <sz val="11"/>
            <color theme="1"/>
            <rFont val="Calibri"/>
            <family val="2"/>
            <scheme val="minor"/>
          </rPr>
          <t>Introduzca la fecha prevista de adjudicación, en formato dd-mm-aaaa</t>
        </r>
      </text>
    </comment>
    <comment ref="F628" authorId="1">
      <text/>
    </comment>
    <comment ref="F629" authorId="1">
      <text/>
    </comment>
    <comment ref="A631" authorId="1">
      <text>
        <r>
          <rPr>
            <sz val="11"/>
            <color theme="1"/>
            <rFont val="Calibri"/>
            <family val="2"/>
            <scheme val="minor"/>
          </rPr>
          <t>Introduzca un codigo UNSPSC</t>
        </r>
      </text>
    </comment>
    <comment ref="B631" authorId="1">
      <text>
        <r>
          <rPr>
            <sz val="11"/>
            <color theme="1"/>
            <rFont val="Calibri"/>
            <family val="2"/>
            <scheme val="minor"/>
          </rPr>
          <t>Descripción calculada automáticamente a partir de código del artículo</t>
        </r>
      </text>
    </comment>
    <comment ref="C631" authorId="1">
      <text>
        <r>
          <rPr>
            <sz val="11"/>
            <color theme="1"/>
            <rFont val="Calibri"/>
            <family val="2"/>
            <scheme val="minor"/>
          </rPr>
          <t>Seleccione un valor de la lista</t>
        </r>
      </text>
    </comment>
    <comment ref="D631" authorId="1">
      <text>
        <r>
          <rPr>
            <sz val="11"/>
            <color theme="1"/>
            <rFont val="Calibri"/>
            <family val="2"/>
            <scheme val="minor"/>
          </rPr>
          <t>Introduzca un número con dos decimales como máximo. Debe ser igual o mayor a la "Cantidad Real Consumida"</t>
        </r>
      </text>
    </comment>
    <comment ref="E631" authorId="1">
      <text>
        <r>
          <rPr>
            <sz val="11"/>
            <color theme="1"/>
            <rFont val="Calibri"/>
            <family val="2"/>
            <scheme val="minor"/>
          </rPr>
          <t>Introduzca un número con dos decimales como máximo</t>
        </r>
      </text>
    </comment>
    <comment ref="F631" authorId="1">
      <text>
        <r>
          <rPr>
            <sz val="11"/>
            <color theme="1"/>
            <rFont val="Calibri"/>
            <family val="2"/>
            <scheme val="minor"/>
          </rPr>
          <t>Monto calculado automáticamente por el sistema</t>
        </r>
      </text>
    </comment>
    <comment ref="A636" authorId="1">
      <text>
        <r>
          <rPr>
            <sz val="11"/>
            <color theme="1"/>
            <rFont val="Calibri"/>
            <family val="2"/>
            <scheme val="minor"/>
          </rPr>
          <t>Introducir un texto con el nombre o referencia de la contratación</t>
        </r>
      </text>
    </comment>
    <comment ref="B636" authorId="1">
      <text>
        <r>
          <rPr>
            <sz val="11"/>
            <color theme="1"/>
            <rFont val="Calibri"/>
            <family val="2"/>
            <scheme val="minor"/>
          </rPr>
          <t>Introduzca un texto con la finalidad de la contratación</t>
        </r>
      </text>
    </comment>
    <comment ref="C636" authorId="1">
      <text>
        <r>
          <rPr>
            <sz val="11"/>
            <color theme="1"/>
            <rFont val="Calibri"/>
            <family val="2"/>
            <scheme val="minor"/>
          </rPr>
          <t>Seleccionar un valor del listado</t>
        </r>
      </text>
    </comment>
    <comment ref="D636" authorId="1">
      <text>
        <r>
          <rPr>
            <sz val="11"/>
            <color theme="1"/>
            <rFont val="Calibri"/>
            <family val="2"/>
            <scheme val="minor"/>
          </rPr>
          <t>Seleccione el tipo de procedimiento</t>
        </r>
      </text>
    </comment>
    <comment ref="E636" authorId="1">
      <text>
        <r>
          <rPr>
            <sz val="11"/>
            <color theme="1"/>
            <rFont val="Calibri"/>
            <family val="2"/>
            <scheme val="minor"/>
          </rPr>
          <t>Seleccione un valor de la lista</t>
        </r>
      </text>
    </comment>
    <comment ref="F636" authorId="1">
      <text>
        <r>
          <rPr>
            <sz val="11"/>
            <color theme="1"/>
            <rFont val="Calibri"/>
            <family val="2"/>
            <scheme val="minor"/>
          </rPr>
          <t>Introduzca el código SNIP</t>
        </r>
      </text>
    </comment>
    <comment ref="C637" authorId="1">
      <text>
        <r>
          <rPr>
            <sz val="11"/>
            <color theme="1"/>
            <rFont val="Calibri"/>
            <family val="2"/>
            <scheme val="minor"/>
          </rPr>
          <t>Introduzca la fecha de inicio del proceso, en formato dd-mm-aaaa</t>
        </r>
      </text>
    </comment>
    <comment ref="F63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8" authorId="1">
      <text/>
    </comment>
    <comment ref="C639" authorId="1">
      <text>
        <r>
          <rPr>
            <sz val="11"/>
            <color theme="1"/>
            <rFont val="Calibri"/>
            <family val="2"/>
            <scheme val="minor"/>
          </rPr>
          <t>Introduzca la fecha prevista de adjudicación, en formato dd-mm-aaaa</t>
        </r>
      </text>
    </comment>
    <comment ref="F639" authorId="1">
      <text/>
    </comment>
    <comment ref="F640" authorId="1">
      <text/>
    </comment>
    <comment ref="A642" authorId="1">
      <text>
        <r>
          <rPr>
            <sz val="11"/>
            <color theme="1"/>
            <rFont val="Calibri"/>
            <family val="2"/>
            <scheme val="minor"/>
          </rPr>
          <t>Introduzca un codigo UNSPSC</t>
        </r>
      </text>
    </comment>
    <comment ref="B642" authorId="1">
      <text>
        <r>
          <rPr>
            <sz val="11"/>
            <color theme="1"/>
            <rFont val="Calibri"/>
            <family val="2"/>
            <scheme val="minor"/>
          </rPr>
          <t>Descripción calculada automáticamente a partir de código del artículo</t>
        </r>
      </text>
    </comment>
    <comment ref="C642" authorId="1">
      <text>
        <r>
          <rPr>
            <sz val="11"/>
            <color theme="1"/>
            <rFont val="Calibri"/>
            <family val="2"/>
            <scheme val="minor"/>
          </rPr>
          <t>Seleccione un valor de la lista</t>
        </r>
      </text>
    </comment>
    <comment ref="D642" authorId="1">
      <text>
        <r>
          <rPr>
            <sz val="11"/>
            <color theme="1"/>
            <rFont val="Calibri"/>
            <family val="2"/>
            <scheme val="minor"/>
          </rPr>
          <t>Introduzca un número con dos decimales como máximo. Debe ser igual o mayor a la "Cantidad Real Consumida"</t>
        </r>
      </text>
    </comment>
    <comment ref="E642" authorId="1">
      <text>
        <r>
          <rPr>
            <sz val="11"/>
            <color theme="1"/>
            <rFont val="Calibri"/>
            <family val="2"/>
            <scheme val="minor"/>
          </rPr>
          <t>Introduzca un número con dos decimales como máximo</t>
        </r>
      </text>
    </comment>
    <comment ref="F642" authorId="1">
      <text>
        <r>
          <rPr>
            <sz val="11"/>
            <color theme="1"/>
            <rFont val="Calibri"/>
            <family val="2"/>
            <scheme val="minor"/>
          </rPr>
          <t>Monto calculado automáticamente por el sistema</t>
        </r>
      </text>
    </comment>
    <comment ref="A647" authorId="1">
      <text>
        <r>
          <rPr>
            <sz val="11"/>
            <color theme="1"/>
            <rFont val="Calibri"/>
            <family val="2"/>
            <scheme val="minor"/>
          </rPr>
          <t>Introducir un texto con el nombre o referencia de la contratación</t>
        </r>
      </text>
    </comment>
    <comment ref="B647" authorId="1">
      <text>
        <r>
          <rPr>
            <sz val="11"/>
            <color theme="1"/>
            <rFont val="Calibri"/>
            <family val="2"/>
            <scheme val="minor"/>
          </rPr>
          <t>Introduzca un texto con la finalidad de la contratación</t>
        </r>
      </text>
    </comment>
    <comment ref="C647" authorId="1">
      <text>
        <r>
          <rPr>
            <sz val="11"/>
            <color theme="1"/>
            <rFont val="Calibri"/>
            <family val="2"/>
            <scheme val="minor"/>
          </rPr>
          <t>Seleccionar un valor del listado</t>
        </r>
      </text>
    </comment>
    <comment ref="D647" authorId="1">
      <text>
        <r>
          <rPr>
            <sz val="11"/>
            <color theme="1"/>
            <rFont val="Calibri"/>
            <family val="2"/>
            <scheme val="minor"/>
          </rPr>
          <t>Seleccione el tipo de procedimiento</t>
        </r>
      </text>
    </comment>
    <comment ref="E647" authorId="1">
      <text>
        <r>
          <rPr>
            <sz val="11"/>
            <color theme="1"/>
            <rFont val="Calibri"/>
            <family val="2"/>
            <scheme val="minor"/>
          </rPr>
          <t>Seleccione un valor de la lista</t>
        </r>
      </text>
    </comment>
    <comment ref="F647" authorId="1">
      <text>
        <r>
          <rPr>
            <sz val="11"/>
            <color theme="1"/>
            <rFont val="Calibri"/>
            <family val="2"/>
            <scheme val="minor"/>
          </rPr>
          <t>Introduzca el código SNIP</t>
        </r>
      </text>
    </comment>
    <comment ref="C648" authorId="1">
      <text>
        <r>
          <rPr>
            <sz val="11"/>
            <color theme="1"/>
            <rFont val="Calibri"/>
            <family val="2"/>
            <scheme val="minor"/>
          </rPr>
          <t>Introduzca la fecha de inicio del proceso, en formato dd-mm-aaaa</t>
        </r>
      </text>
    </comment>
    <comment ref="F64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9" authorId="1">
      <text/>
    </comment>
    <comment ref="C650" authorId="1">
      <text>
        <r>
          <rPr>
            <sz val="11"/>
            <color theme="1"/>
            <rFont val="Calibri"/>
            <family val="2"/>
            <scheme val="minor"/>
          </rPr>
          <t>Introduzca la fecha prevista de adjudicación, en formato dd-mm-aaaa</t>
        </r>
      </text>
    </comment>
    <comment ref="F650" authorId="1">
      <text/>
    </comment>
    <comment ref="F651" authorId="1">
      <text/>
    </comment>
    <comment ref="A653" authorId="1">
      <text>
        <r>
          <rPr>
            <sz val="11"/>
            <color theme="1"/>
            <rFont val="Calibri"/>
            <family val="2"/>
            <scheme val="minor"/>
          </rPr>
          <t>Introduzca un codigo UNSPSC</t>
        </r>
      </text>
    </comment>
    <comment ref="B653" authorId="1">
      <text>
        <r>
          <rPr>
            <sz val="11"/>
            <color theme="1"/>
            <rFont val="Calibri"/>
            <family val="2"/>
            <scheme val="minor"/>
          </rPr>
          <t>Descripción calculada automáticamente a partir de código del artículo</t>
        </r>
      </text>
    </comment>
    <comment ref="C653" authorId="1">
      <text>
        <r>
          <rPr>
            <sz val="11"/>
            <color theme="1"/>
            <rFont val="Calibri"/>
            <family val="2"/>
            <scheme val="minor"/>
          </rPr>
          <t>Seleccione un valor de la lista</t>
        </r>
      </text>
    </comment>
    <comment ref="D653" authorId="1">
      <text>
        <r>
          <rPr>
            <sz val="11"/>
            <color theme="1"/>
            <rFont val="Calibri"/>
            <family val="2"/>
            <scheme val="minor"/>
          </rPr>
          <t>Introduzca un número con dos decimales como máximo. Debe ser igual o mayor a la "Cantidad Real Consumida"</t>
        </r>
      </text>
    </comment>
    <comment ref="E653" authorId="1">
      <text>
        <r>
          <rPr>
            <sz val="11"/>
            <color theme="1"/>
            <rFont val="Calibri"/>
            <family val="2"/>
            <scheme val="minor"/>
          </rPr>
          <t>Introduzca un número con dos decimales como máximo</t>
        </r>
      </text>
    </comment>
    <comment ref="F653" authorId="1">
      <text>
        <r>
          <rPr>
            <sz val="11"/>
            <color theme="1"/>
            <rFont val="Calibri"/>
            <family val="2"/>
            <scheme val="minor"/>
          </rPr>
          <t>Monto calculado automáticamente por el sistema</t>
        </r>
      </text>
    </comment>
    <comment ref="A658" authorId="1">
      <text>
        <r>
          <rPr>
            <sz val="11"/>
            <color theme="1"/>
            <rFont val="Calibri"/>
            <family val="2"/>
            <scheme val="minor"/>
          </rPr>
          <t>Introducir un texto con el nombre o referencia de la contratación</t>
        </r>
      </text>
    </comment>
    <comment ref="B658" authorId="1">
      <text>
        <r>
          <rPr>
            <sz val="11"/>
            <color theme="1"/>
            <rFont val="Calibri"/>
            <family val="2"/>
            <scheme val="minor"/>
          </rPr>
          <t>Introduzca un texto con la finalidad de la contratación</t>
        </r>
      </text>
    </comment>
    <comment ref="C658" authorId="1">
      <text>
        <r>
          <rPr>
            <sz val="11"/>
            <color theme="1"/>
            <rFont val="Calibri"/>
            <family val="2"/>
            <scheme val="minor"/>
          </rPr>
          <t>Seleccionar un valor del listado</t>
        </r>
      </text>
    </comment>
    <comment ref="D658" authorId="1">
      <text>
        <r>
          <rPr>
            <sz val="11"/>
            <color theme="1"/>
            <rFont val="Calibri"/>
            <family val="2"/>
            <scheme val="minor"/>
          </rPr>
          <t>Seleccione el tipo de procedimiento</t>
        </r>
      </text>
    </comment>
    <comment ref="E658" authorId="1">
      <text>
        <r>
          <rPr>
            <sz val="11"/>
            <color theme="1"/>
            <rFont val="Calibri"/>
            <family val="2"/>
            <scheme val="minor"/>
          </rPr>
          <t>Seleccione un valor de la lista</t>
        </r>
      </text>
    </comment>
    <comment ref="F658" authorId="1">
      <text>
        <r>
          <rPr>
            <sz val="11"/>
            <color theme="1"/>
            <rFont val="Calibri"/>
            <family val="2"/>
            <scheme val="minor"/>
          </rPr>
          <t>Introduzca el código SNIP</t>
        </r>
      </text>
    </comment>
    <comment ref="C659" authorId="1">
      <text>
        <r>
          <rPr>
            <sz val="11"/>
            <color theme="1"/>
            <rFont val="Calibri"/>
            <family val="2"/>
            <scheme val="minor"/>
          </rPr>
          <t>Introduzca la fecha de inicio del proceso, en formato dd-mm-aaaa</t>
        </r>
      </text>
    </comment>
    <comment ref="F65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0" authorId="1">
      <text/>
    </comment>
    <comment ref="C661" authorId="1">
      <text>
        <r>
          <rPr>
            <sz val="11"/>
            <color theme="1"/>
            <rFont val="Calibri"/>
            <family val="2"/>
            <scheme val="minor"/>
          </rPr>
          <t>Introduzca la fecha prevista de adjudicación, en formato dd-mm-aaaa</t>
        </r>
      </text>
    </comment>
    <comment ref="F661" authorId="1">
      <text/>
    </comment>
    <comment ref="F662" authorId="1">
      <text/>
    </comment>
    <comment ref="A664" authorId="1">
      <text>
        <r>
          <rPr>
            <sz val="11"/>
            <color theme="1"/>
            <rFont val="Calibri"/>
            <family val="2"/>
            <scheme val="minor"/>
          </rPr>
          <t>Introduzca un codigo UNSPSC</t>
        </r>
      </text>
    </comment>
    <comment ref="B664" authorId="1">
      <text>
        <r>
          <rPr>
            <sz val="11"/>
            <color theme="1"/>
            <rFont val="Calibri"/>
            <family val="2"/>
            <scheme val="minor"/>
          </rPr>
          <t>Descripción calculada automáticamente a partir de código del artículo</t>
        </r>
      </text>
    </comment>
    <comment ref="C664" authorId="1">
      <text>
        <r>
          <rPr>
            <sz val="11"/>
            <color theme="1"/>
            <rFont val="Calibri"/>
            <family val="2"/>
            <scheme val="minor"/>
          </rPr>
          <t>Seleccione un valor de la lista</t>
        </r>
      </text>
    </comment>
    <comment ref="D664" authorId="1">
      <text>
        <r>
          <rPr>
            <sz val="11"/>
            <color theme="1"/>
            <rFont val="Calibri"/>
            <family val="2"/>
            <scheme val="minor"/>
          </rPr>
          <t>Introduzca un número con dos decimales como máximo. Debe ser igual o mayor a la "Cantidad Real Consumida"</t>
        </r>
      </text>
    </comment>
    <comment ref="E664" authorId="1">
      <text>
        <r>
          <rPr>
            <sz val="11"/>
            <color theme="1"/>
            <rFont val="Calibri"/>
            <family val="2"/>
            <scheme val="minor"/>
          </rPr>
          <t>Introduzca un número con dos decimales como máximo</t>
        </r>
      </text>
    </comment>
    <comment ref="F664" authorId="1">
      <text>
        <r>
          <rPr>
            <sz val="11"/>
            <color theme="1"/>
            <rFont val="Calibri"/>
            <family val="2"/>
            <scheme val="minor"/>
          </rPr>
          <t>Monto calculado automáticamente por el sistema</t>
        </r>
      </text>
    </comment>
    <comment ref="A669" authorId="1">
      <text>
        <r>
          <rPr>
            <sz val="11"/>
            <color theme="1"/>
            <rFont val="Calibri"/>
            <family val="2"/>
            <scheme val="minor"/>
          </rPr>
          <t>Introducir un texto con el nombre o referencia de la contratación</t>
        </r>
      </text>
    </comment>
    <comment ref="B669" authorId="1">
      <text>
        <r>
          <rPr>
            <sz val="11"/>
            <color theme="1"/>
            <rFont val="Calibri"/>
            <family val="2"/>
            <scheme val="minor"/>
          </rPr>
          <t>Introduzca un texto con la finalidad de la contratación</t>
        </r>
      </text>
    </comment>
    <comment ref="C669" authorId="1">
      <text>
        <r>
          <rPr>
            <sz val="11"/>
            <color theme="1"/>
            <rFont val="Calibri"/>
            <family val="2"/>
            <scheme val="minor"/>
          </rPr>
          <t>Seleccionar un valor del listado</t>
        </r>
      </text>
    </comment>
    <comment ref="D669" authorId="1">
      <text>
        <r>
          <rPr>
            <sz val="11"/>
            <color theme="1"/>
            <rFont val="Calibri"/>
            <family val="2"/>
            <scheme val="minor"/>
          </rPr>
          <t>Seleccione el tipo de procedimiento</t>
        </r>
      </text>
    </comment>
    <comment ref="E669" authorId="1">
      <text>
        <r>
          <rPr>
            <sz val="11"/>
            <color theme="1"/>
            <rFont val="Calibri"/>
            <family val="2"/>
            <scheme val="minor"/>
          </rPr>
          <t>Seleccione un valor de la lista</t>
        </r>
      </text>
    </comment>
    <comment ref="F669" authorId="1">
      <text>
        <r>
          <rPr>
            <sz val="11"/>
            <color theme="1"/>
            <rFont val="Calibri"/>
            <family val="2"/>
            <scheme val="minor"/>
          </rPr>
          <t>Introduzca el código SNIP</t>
        </r>
      </text>
    </comment>
    <comment ref="C670" authorId="1">
      <text>
        <r>
          <rPr>
            <sz val="11"/>
            <color theme="1"/>
            <rFont val="Calibri"/>
            <family val="2"/>
            <scheme val="minor"/>
          </rPr>
          <t>Introduzca la fecha de inicio del proceso, en formato dd-mm-aaaa</t>
        </r>
      </text>
    </comment>
    <comment ref="F67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1" authorId="1">
      <text/>
    </comment>
    <comment ref="C672" authorId="1">
      <text>
        <r>
          <rPr>
            <sz val="11"/>
            <color theme="1"/>
            <rFont val="Calibri"/>
            <family val="2"/>
            <scheme val="minor"/>
          </rPr>
          <t>Introduzca la fecha prevista de adjudicación, en formato dd-mm-aaaa</t>
        </r>
      </text>
    </comment>
    <comment ref="F672" authorId="1">
      <text/>
    </comment>
    <comment ref="F673" authorId="1">
      <text/>
    </comment>
    <comment ref="A675" authorId="1">
      <text>
        <r>
          <rPr>
            <sz val="11"/>
            <color theme="1"/>
            <rFont val="Calibri"/>
            <family val="2"/>
            <scheme val="minor"/>
          </rPr>
          <t>Introduzca un codigo UNSPSC</t>
        </r>
      </text>
    </comment>
    <comment ref="B675" authorId="1">
      <text>
        <r>
          <rPr>
            <sz val="11"/>
            <color theme="1"/>
            <rFont val="Calibri"/>
            <family val="2"/>
            <scheme val="minor"/>
          </rPr>
          <t>Descripción calculada automáticamente a partir de código del artículo</t>
        </r>
      </text>
    </comment>
    <comment ref="C675" authorId="1">
      <text>
        <r>
          <rPr>
            <sz val="11"/>
            <color theme="1"/>
            <rFont val="Calibri"/>
            <family val="2"/>
            <scheme val="minor"/>
          </rPr>
          <t>Seleccione un valor de la lista</t>
        </r>
      </text>
    </comment>
    <comment ref="D675" authorId="1">
      <text>
        <r>
          <rPr>
            <sz val="11"/>
            <color theme="1"/>
            <rFont val="Calibri"/>
            <family val="2"/>
            <scheme val="minor"/>
          </rPr>
          <t>Introduzca un número con dos decimales como máximo. Debe ser igual o mayor a la "Cantidad Real Consumida"</t>
        </r>
      </text>
    </comment>
    <comment ref="E675" authorId="1">
      <text>
        <r>
          <rPr>
            <sz val="11"/>
            <color theme="1"/>
            <rFont val="Calibri"/>
            <family val="2"/>
            <scheme val="minor"/>
          </rPr>
          <t>Introduzca un número con dos decimales como máximo</t>
        </r>
      </text>
    </comment>
    <comment ref="F675" authorId="1">
      <text>
        <r>
          <rPr>
            <sz val="11"/>
            <color theme="1"/>
            <rFont val="Calibri"/>
            <family val="2"/>
            <scheme val="minor"/>
          </rPr>
          <t>Monto calculado automáticamente por el sistema</t>
        </r>
      </text>
    </comment>
    <comment ref="A680" authorId="1">
      <text>
        <r>
          <rPr>
            <sz val="11"/>
            <color theme="1"/>
            <rFont val="Calibri"/>
            <family val="2"/>
            <scheme val="minor"/>
          </rPr>
          <t>Introducir un texto con el nombre o referencia de la contratación</t>
        </r>
      </text>
    </comment>
    <comment ref="B680" authorId="1">
      <text>
        <r>
          <rPr>
            <sz val="11"/>
            <color theme="1"/>
            <rFont val="Calibri"/>
            <family val="2"/>
            <scheme val="minor"/>
          </rPr>
          <t>Introduzca un texto con la finalidad de la contratación</t>
        </r>
      </text>
    </comment>
    <comment ref="C680" authorId="1">
      <text>
        <r>
          <rPr>
            <sz val="11"/>
            <color theme="1"/>
            <rFont val="Calibri"/>
            <family val="2"/>
            <scheme val="minor"/>
          </rPr>
          <t>Seleccionar un valor del listado</t>
        </r>
      </text>
    </comment>
    <comment ref="D680" authorId="1">
      <text>
        <r>
          <rPr>
            <sz val="11"/>
            <color theme="1"/>
            <rFont val="Calibri"/>
            <family val="2"/>
            <scheme val="minor"/>
          </rPr>
          <t>Seleccione el tipo de procedimiento</t>
        </r>
      </text>
    </comment>
    <comment ref="E680" authorId="1">
      <text>
        <r>
          <rPr>
            <sz val="11"/>
            <color theme="1"/>
            <rFont val="Calibri"/>
            <family val="2"/>
            <scheme val="minor"/>
          </rPr>
          <t>Seleccione un valor de la lista</t>
        </r>
      </text>
    </comment>
    <comment ref="F680" authorId="1">
      <text>
        <r>
          <rPr>
            <sz val="11"/>
            <color theme="1"/>
            <rFont val="Calibri"/>
            <family val="2"/>
            <scheme val="minor"/>
          </rPr>
          <t>Introduzca el código SNIP</t>
        </r>
      </text>
    </comment>
    <comment ref="C681" authorId="1">
      <text>
        <r>
          <rPr>
            <sz val="11"/>
            <color theme="1"/>
            <rFont val="Calibri"/>
            <family val="2"/>
            <scheme val="minor"/>
          </rPr>
          <t>Introduzca la fecha de inicio del proceso, en formato dd-mm-aaaa</t>
        </r>
      </text>
    </comment>
    <comment ref="F68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1">
      <text/>
    </comment>
    <comment ref="C683" authorId="1">
      <text>
        <r>
          <rPr>
            <sz val="11"/>
            <color theme="1"/>
            <rFont val="Calibri"/>
            <family val="2"/>
            <scheme val="minor"/>
          </rPr>
          <t>Introduzca la fecha prevista de adjudicación, en formato dd-mm-aaaa</t>
        </r>
      </text>
    </comment>
    <comment ref="F683" authorId="1">
      <text/>
    </comment>
    <comment ref="F684" authorId="1">
      <text/>
    </comment>
    <comment ref="A686" authorId="1">
      <text>
        <r>
          <rPr>
            <sz val="11"/>
            <color theme="1"/>
            <rFont val="Calibri"/>
            <family val="2"/>
            <scheme val="minor"/>
          </rPr>
          <t>Introduzca un codigo UNSPSC</t>
        </r>
      </text>
    </comment>
    <comment ref="B686" authorId="1">
      <text>
        <r>
          <rPr>
            <sz val="11"/>
            <color theme="1"/>
            <rFont val="Calibri"/>
            <family val="2"/>
            <scheme val="minor"/>
          </rPr>
          <t>Descripción calculada automáticamente a partir de código del artículo</t>
        </r>
      </text>
    </comment>
    <comment ref="C686" authorId="1">
      <text>
        <r>
          <rPr>
            <sz val="11"/>
            <color theme="1"/>
            <rFont val="Calibri"/>
            <family val="2"/>
            <scheme val="minor"/>
          </rPr>
          <t>Seleccione un valor de la lista</t>
        </r>
      </text>
    </comment>
    <comment ref="D686" authorId="1">
      <text>
        <r>
          <rPr>
            <sz val="11"/>
            <color theme="1"/>
            <rFont val="Calibri"/>
            <family val="2"/>
            <scheme val="minor"/>
          </rPr>
          <t>Introduzca un número con dos decimales como máximo. Debe ser igual o mayor a la "Cantidad Real Consumida"</t>
        </r>
      </text>
    </comment>
    <comment ref="E686" authorId="1">
      <text>
        <r>
          <rPr>
            <sz val="11"/>
            <color theme="1"/>
            <rFont val="Calibri"/>
            <family val="2"/>
            <scheme val="minor"/>
          </rPr>
          <t>Introduzca un número con dos decimales como máximo</t>
        </r>
      </text>
    </comment>
    <comment ref="F686" authorId="1">
      <text>
        <r>
          <rPr>
            <sz val="11"/>
            <color theme="1"/>
            <rFont val="Calibri"/>
            <family val="2"/>
            <scheme val="minor"/>
          </rPr>
          <t>Monto calculado automáticamente por el sistema</t>
        </r>
      </text>
    </comment>
    <comment ref="A691" authorId="1">
      <text>
        <r>
          <rPr>
            <sz val="11"/>
            <color theme="1"/>
            <rFont val="Calibri"/>
            <family val="2"/>
            <scheme val="minor"/>
          </rPr>
          <t>Introducir un texto con el nombre o referencia de la contratación</t>
        </r>
      </text>
    </comment>
    <comment ref="B691" authorId="1">
      <text>
        <r>
          <rPr>
            <sz val="11"/>
            <color theme="1"/>
            <rFont val="Calibri"/>
            <family val="2"/>
            <scheme val="minor"/>
          </rPr>
          <t>Introduzca un texto con la finalidad de la contratación</t>
        </r>
      </text>
    </comment>
    <comment ref="C691" authorId="1">
      <text>
        <r>
          <rPr>
            <sz val="11"/>
            <color theme="1"/>
            <rFont val="Calibri"/>
            <family val="2"/>
            <scheme val="minor"/>
          </rPr>
          <t>Seleccionar un valor del listado</t>
        </r>
      </text>
    </comment>
    <comment ref="D691" authorId="1">
      <text>
        <r>
          <rPr>
            <sz val="11"/>
            <color theme="1"/>
            <rFont val="Calibri"/>
            <family val="2"/>
            <scheme val="minor"/>
          </rPr>
          <t>Seleccione el tipo de procedimiento</t>
        </r>
      </text>
    </comment>
    <comment ref="E691" authorId="1">
      <text>
        <r>
          <rPr>
            <sz val="11"/>
            <color theme="1"/>
            <rFont val="Calibri"/>
            <family val="2"/>
            <scheme val="minor"/>
          </rPr>
          <t>Seleccione un valor de la lista</t>
        </r>
      </text>
    </comment>
    <comment ref="F691" authorId="1">
      <text>
        <r>
          <rPr>
            <sz val="11"/>
            <color theme="1"/>
            <rFont val="Calibri"/>
            <family val="2"/>
            <scheme val="minor"/>
          </rPr>
          <t>Introduzca el código SNIP</t>
        </r>
      </text>
    </comment>
    <comment ref="C692" authorId="1">
      <text>
        <r>
          <rPr>
            <sz val="11"/>
            <color theme="1"/>
            <rFont val="Calibri"/>
            <family val="2"/>
            <scheme val="minor"/>
          </rPr>
          <t>Introduzca la fecha de inicio del proceso, en formato dd-mm-aaaa</t>
        </r>
      </text>
    </comment>
    <comment ref="F69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3" authorId="1">
      <text/>
    </comment>
    <comment ref="C694" authorId="1">
      <text>
        <r>
          <rPr>
            <sz val="11"/>
            <color theme="1"/>
            <rFont val="Calibri"/>
            <family val="2"/>
            <scheme val="minor"/>
          </rPr>
          <t>Introduzca la fecha prevista de adjudicación, en formato dd-mm-aaaa</t>
        </r>
      </text>
    </comment>
    <comment ref="F694" authorId="1">
      <text/>
    </comment>
    <comment ref="F695" authorId="1">
      <text/>
    </comment>
    <comment ref="A697" authorId="1">
      <text>
        <r>
          <rPr>
            <sz val="11"/>
            <color theme="1"/>
            <rFont val="Calibri"/>
            <family val="2"/>
            <scheme val="minor"/>
          </rPr>
          <t>Introduzca un codigo UNSPSC</t>
        </r>
      </text>
    </comment>
    <comment ref="B697" authorId="1">
      <text>
        <r>
          <rPr>
            <sz val="11"/>
            <color theme="1"/>
            <rFont val="Calibri"/>
            <family val="2"/>
            <scheme val="minor"/>
          </rPr>
          <t>Descripción calculada automáticamente a partir de código del artículo</t>
        </r>
      </text>
    </comment>
    <comment ref="C697" authorId="1">
      <text>
        <r>
          <rPr>
            <sz val="11"/>
            <color theme="1"/>
            <rFont val="Calibri"/>
            <family val="2"/>
            <scheme val="minor"/>
          </rPr>
          <t>Seleccione un valor de la lista</t>
        </r>
      </text>
    </comment>
    <comment ref="D697" authorId="1">
      <text>
        <r>
          <rPr>
            <sz val="11"/>
            <color theme="1"/>
            <rFont val="Calibri"/>
            <family val="2"/>
            <scheme val="minor"/>
          </rPr>
          <t>Introduzca un número con dos decimales como máximo. Debe ser igual o mayor a la "Cantidad Real Consumida"</t>
        </r>
      </text>
    </comment>
    <comment ref="E697" authorId="1">
      <text>
        <r>
          <rPr>
            <sz val="11"/>
            <color theme="1"/>
            <rFont val="Calibri"/>
            <family val="2"/>
            <scheme val="minor"/>
          </rPr>
          <t>Introduzca un número con dos decimales como máximo</t>
        </r>
      </text>
    </comment>
    <comment ref="F697" authorId="1">
      <text>
        <r>
          <rPr>
            <sz val="11"/>
            <color theme="1"/>
            <rFont val="Calibri"/>
            <family val="2"/>
            <scheme val="minor"/>
          </rPr>
          <t>Monto calculado automáticamente por el sistema</t>
        </r>
      </text>
    </comment>
    <comment ref="A702" authorId="1">
      <text>
        <r>
          <rPr>
            <sz val="11"/>
            <color theme="1"/>
            <rFont val="Calibri"/>
            <family val="2"/>
            <scheme val="minor"/>
          </rPr>
          <t>Introducir un texto con el nombre o referencia de la contratación</t>
        </r>
      </text>
    </comment>
    <comment ref="B702" authorId="1">
      <text>
        <r>
          <rPr>
            <sz val="11"/>
            <color theme="1"/>
            <rFont val="Calibri"/>
            <family val="2"/>
            <scheme val="minor"/>
          </rPr>
          <t>Introduzca un texto con la finalidad de la contratación</t>
        </r>
      </text>
    </comment>
    <comment ref="C702" authorId="1">
      <text>
        <r>
          <rPr>
            <sz val="11"/>
            <color theme="1"/>
            <rFont val="Calibri"/>
            <family val="2"/>
            <scheme val="minor"/>
          </rPr>
          <t>Seleccionar un valor del listado</t>
        </r>
      </text>
    </comment>
    <comment ref="D702" authorId="1">
      <text>
        <r>
          <rPr>
            <sz val="11"/>
            <color theme="1"/>
            <rFont val="Calibri"/>
            <family val="2"/>
            <scheme val="minor"/>
          </rPr>
          <t>Seleccione el tipo de procedimiento</t>
        </r>
      </text>
    </comment>
    <comment ref="E702" authorId="1">
      <text>
        <r>
          <rPr>
            <sz val="11"/>
            <color theme="1"/>
            <rFont val="Calibri"/>
            <family val="2"/>
            <scheme val="minor"/>
          </rPr>
          <t>Seleccione un valor de la lista</t>
        </r>
      </text>
    </comment>
    <comment ref="F702" authorId="1">
      <text>
        <r>
          <rPr>
            <sz val="11"/>
            <color theme="1"/>
            <rFont val="Calibri"/>
            <family val="2"/>
            <scheme val="minor"/>
          </rPr>
          <t>Introduzca el código SNIP</t>
        </r>
      </text>
    </comment>
    <comment ref="C703" authorId="1">
      <text>
        <r>
          <rPr>
            <sz val="11"/>
            <color theme="1"/>
            <rFont val="Calibri"/>
            <family val="2"/>
            <scheme val="minor"/>
          </rPr>
          <t>Introduzca la fecha de inicio del proceso, en formato dd-mm-aaaa</t>
        </r>
      </text>
    </comment>
    <comment ref="F70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4" authorId="1">
      <text/>
    </comment>
    <comment ref="C705" authorId="1">
      <text>
        <r>
          <rPr>
            <sz val="11"/>
            <color theme="1"/>
            <rFont val="Calibri"/>
            <family val="2"/>
            <scheme val="minor"/>
          </rPr>
          <t>Introduzca la fecha prevista de adjudicación, en formato dd-mm-aaaa</t>
        </r>
      </text>
    </comment>
    <comment ref="F705" authorId="1">
      <text/>
    </comment>
    <comment ref="F706" authorId="1">
      <text/>
    </comment>
    <comment ref="A708" authorId="1">
      <text>
        <r>
          <rPr>
            <sz val="11"/>
            <color theme="1"/>
            <rFont val="Calibri"/>
            <family val="2"/>
            <scheme val="minor"/>
          </rPr>
          <t>Introduzca un codigo UNSPSC</t>
        </r>
      </text>
    </comment>
    <comment ref="B708" authorId="1">
      <text>
        <r>
          <rPr>
            <sz val="11"/>
            <color theme="1"/>
            <rFont val="Calibri"/>
            <family val="2"/>
            <scheme val="minor"/>
          </rPr>
          <t>Descripción calculada automáticamente a partir de código del artículo</t>
        </r>
      </text>
    </comment>
    <comment ref="C708" authorId="1">
      <text>
        <r>
          <rPr>
            <sz val="11"/>
            <color theme="1"/>
            <rFont val="Calibri"/>
            <family val="2"/>
            <scheme val="minor"/>
          </rPr>
          <t>Seleccione un valor de la lista</t>
        </r>
      </text>
    </comment>
    <comment ref="D708" authorId="1">
      <text>
        <r>
          <rPr>
            <sz val="11"/>
            <color theme="1"/>
            <rFont val="Calibri"/>
            <family val="2"/>
            <scheme val="minor"/>
          </rPr>
          <t>Introduzca un número con dos decimales como máximo. Debe ser igual o mayor a la "Cantidad Real Consumida"</t>
        </r>
      </text>
    </comment>
    <comment ref="E708" authorId="1">
      <text>
        <r>
          <rPr>
            <sz val="11"/>
            <color theme="1"/>
            <rFont val="Calibri"/>
            <family val="2"/>
            <scheme val="minor"/>
          </rPr>
          <t>Introduzca un número con dos decimales como máximo</t>
        </r>
      </text>
    </comment>
    <comment ref="F708" authorId="1">
      <text>
        <r>
          <rPr>
            <sz val="11"/>
            <color theme="1"/>
            <rFont val="Calibri"/>
            <family val="2"/>
            <scheme val="minor"/>
          </rPr>
          <t>Monto calculado automáticamente por el sistema</t>
        </r>
      </text>
    </comment>
    <comment ref="A713" authorId="1">
      <text>
        <r>
          <rPr>
            <sz val="11"/>
            <color theme="1"/>
            <rFont val="Calibri"/>
            <family val="2"/>
            <scheme val="minor"/>
          </rPr>
          <t>Introducir un texto con el nombre o referencia de la contratación</t>
        </r>
      </text>
    </comment>
    <comment ref="B713" authorId="1">
      <text>
        <r>
          <rPr>
            <sz val="11"/>
            <color theme="1"/>
            <rFont val="Calibri"/>
            <family val="2"/>
            <scheme val="minor"/>
          </rPr>
          <t>Introduzca un texto con la finalidad de la contratación</t>
        </r>
      </text>
    </comment>
    <comment ref="C713" authorId="1">
      <text>
        <r>
          <rPr>
            <sz val="11"/>
            <color theme="1"/>
            <rFont val="Calibri"/>
            <family val="2"/>
            <scheme val="minor"/>
          </rPr>
          <t>Seleccionar un valor del listado</t>
        </r>
      </text>
    </comment>
    <comment ref="D713" authorId="1">
      <text>
        <r>
          <rPr>
            <sz val="11"/>
            <color theme="1"/>
            <rFont val="Calibri"/>
            <family val="2"/>
            <scheme val="minor"/>
          </rPr>
          <t>Seleccione el tipo de procedimiento</t>
        </r>
      </text>
    </comment>
    <comment ref="E713" authorId="1">
      <text>
        <r>
          <rPr>
            <sz val="11"/>
            <color theme="1"/>
            <rFont val="Calibri"/>
            <family val="2"/>
            <scheme val="minor"/>
          </rPr>
          <t>Seleccione un valor de la lista</t>
        </r>
      </text>
    </comment>
    <comment ref="F713" authorId="1">
      <text>
        <r>
          <rPr>
            <sz val="11"/>
            <color theme="1"/>
            <rFont val="Calibri"/>
            <family val="2"/>
            <scheme val="minor"/>
          </rPr>
          <t>Introduzca el código SNIP</t>
        </r>
      </text>
    </comment>
    <comment ref="C714" authorId="1">
      <text>
        <r>
          <rPr>
            <sz val="11"/>
            <color theme="1"/>
            <rFont val="Calibri"/>
            <family val="2"/>
            <scheme val="minor"/>
          </rPr>
          <t>Introduzca la fecha de inicio del proceso, en formato dd-mm-aaaa</t>
        </r>
      </text>
    </comment>
    <comment ref="F71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5" authorId="1">
      <text/>
    </comment>
    <comment ref="C716" authorId="1">
      <text>
        <r>
          <rPr>
            <sz val="11"/>
            <color theme="1"/>
            <rFont val="Calibri"/>
            <family val="2"/>
            <scheme val="minor"/>
          </rPr>
          <t>Introduzca la fecha prevista de adjudicación, en formato dd-mm-aaaa</t>
        </r>
      </text>
    </comment>
    <comment ref="F716" authorId="1">
      <text/>
    </comment>
    <comment ref="F717" authorId="1">
      <text/>
    </comment>
    <comment ref="A719" authorId="1">
      <text>
        <r>
          <rPr>
            <sz val="11"/>
            <color theme="1"/>
            <rFont val="Calibri"/>
            <family val="2"/>
            <scheme val="minor"/>
          </rPr>
          <t>Introduzca un codigo UNSPSC</t>
        </r>
      </text>
    </comment>
    <comment ref="B719" authorId="1">
      <text>
        <r>
          <rPr>
            <sz val="11"/>
            <color theme="1"/>
            <rFont val="Calibri"/>
            <family val="2"/>
            <scheme val="minor"/>
          </rPr>
          <t>Descripción calculada automáticamente a partir de código del artículo</t>
        </r>
      </text>
    </comment>
    <comment ref="C719" authorId="1">
      <text>
        <r>
          <rPr>
            <sz val="11"/>
            <color theme="1"/>
            <rFont val="Calibri"/>
            <family val="2"/>
            <scheme val="minor"/>
          </rPr>
          <t>Seleccione un valor de la lista</t>
        </r>
      </text>
    </comment>
    <comment ref="D719" authorId="1">
      <text>
        <r>
          <rPr>
            <sz val="11"/>
            <color theme="1"/>
            <rFont val="Calibri"/>
            <family val="2"/>
            <scheme val="minor"/>
          </rPr>
          <t>Introduzca un número con dos decimales como máximo. Debe ser igual o mayor a la "Cantidad Real Consumida"</t>
        </r>
      </text>
    </comment>
    <comment ref="E719" authorId="1">
      <text>
        <r>
          <rPr>
            <sz val="11"/>
            <color theme="1"/>
            <rFont val="Calibri"/>
            <family val="2"/>
            <scheme val="minor"/>
          </rPr>
          <t>Introduzca un número con dos decimales como máximo</t>
        </r>
      </text>
    </comment>
    <comment ref="F719" authorId="1">
      <text>
        <r>
          <rPr>
            <sz val="11"/>
            <color theme="1"/>
            <rFont val="Calibri"/>
            <family val="2"/>
            <scheme val="minor"/>
          </rPr>
          <t>Monto calculado automáticamente por el sistema</t>
        </r>
      </text>
    </comment>
    <comment ref="A724" authorId="1">
      <text>
        <r>
          <rPr>
            <sz val="11"/>
            <color theme="1"/>
            <rFont val="Calibri"/>
            <family val="2"/>
            <scheme val="minor"/>
          </rPr>
          <t>Introducir un texto con el nombre o referencia de la contratación</t>
        </r>
      </text>
    </comment>
    <comment ref="B724" authorId="1">
      <text>
        <r>
          <rPr>
            <sz val="11"/>
            <color theme="1"/>
            <rFont val="Calibri"/>
            <family val="2"/>
            <scheme val="minor"/>
          </rPr>
          <t>Introduzca un texto con la finalidad de la contratación</t>
        </r>
      </text>
    </comment>
    <comment ref="C724" authorId="1">
      <text>
        <r>
          <rPr>
            <sz val="11"/>
            <color theme="1"/>
            <rFont val="Calibri"/>
            <family val="2"/>
            <scheme val="minor"/>
          </rPr>
          <t>Seleccionar un valor del listado</t>
        </r>
      </text>
    </comment>
    <comment ref="D724" authorId="1">
      <text>
        <r>
          <rPr>
            <sz val="11"/>
            <color theme="1"/>
            <rFont val="Calibri"/>
            <family val="2"/>
            <scheme val="minor"/>
          </rPr>
          <t>Seleccione el tipo de procedimiento</t>
        </r>
      </text>
    </comment>
    <comment ref="E724" authorId="1">
      <text>
        <r>
          <rPr>
            <sz val="11"/>
            <color theme="1"/>
            <rFont val="Calibri"/>
            <family val="2"/>
            <scheme val="minor"/>
          </rPr>
          <t>Seleccione un valor de la lista</t>
        </r>
      </text>
    </comment>
    <comment ref="F724" authorId="1">
      <text>
        <r>
          <rPr>
            <sz val="11"/>
            <color theme="1"/>
            <rFont val="Calibri"/>
            <family val="2"/>
            <scheme val="minor"/>
          </rPr>
          <t>Introduzca el código SNIP</t>
        </r>
      </text>
    </comment>
    <comment ref="C725" authorId="1">
      <text>
        <r>
          <rPr>
            <sz val="11"/>
            <color theme="1"/>
            <rFont val="Calibri"/>
            <family val="2"/>
            <scheme val="minor"/>
          </rPr>
          <t>Introduzca la fecha de inicio del proceso, en formato dd-mm-aaaa</t>
        </r>
      </text>
    </comment>
    <comment ref="F72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6" authorId="1">
      <text/>
    </comment>
    <comment ref="C727" authorId="1">
      <text>
        <r>
          <rPr>
            <sz val="11"/>
            <color theme="1"/>
            <rFont val="Calibri"/>
            <family val="2"/>
            <scheme val="minor"/>
          </rPr>
          <t>Introduzca la fecha prevista de adjudicación, en formato dd-mm-aaaa</t>
        </r>
      </text>
    </comment>
    <comment ref="F727" authorId="1">
      <text/>
    </comment>
    <comment ref="F728" authorId="1">
      <text/>
    </comment>
    <comment ref="A730" authorId="1">
      <text>
        <r>
          <rPr>
            <sz val="11"/>
            <color theme="1"/>
            <rFont val="Calibri"/>
            <family val="2"/>
            <scheme val="minor"/>
          </rPr>
          <t>Introduzca un codigo UNSPSC</t>
        </r>
      </text>
    </comment>
    <comment ref="B730" authorId="1">
      <text>
        <r>
          <rPr>
            <sz val="11"/>
            <color theme="1"/>
            <rFont val="Calibri"/>
            <family val="2"/>
            <scheme val="minor"/>
          </rPr>
          <t>Descripción calculada automáticamente a partir de código del artículo</t>
        </r>
      </text>
    </comment>
    <comment ref="C730" authorId="1">
      <text>
        <r>
          <rPr>
            <sz val="11"/>
            <color theme="1"/>
            <rFont val="Calibri"/>
            <family val="2"/>
            <scheme val="minor"/>
          </rPr>
          <t>Seleccione un valor de la lista</t>
        </r>
      </text>
    </comment>
    <comment ref="D730" authorId="1">
      <text>
        <r>
          <rPr>
            <sz val="11"/>
            <color theme="1"/>
            <rFont val="Calibri"/>
            <family val="2"/>
            <scheme val="minor"/>
          </rPr>
          <t>Introduzca un número con dos decimales como máximo. Debe ser igual o mayor a la "Cantidad Real Consumida"</t>
        </r>
      </text>
    </comment>
    <comment ref="E730" authorId="1">
      <text>
        <r>
          <rPr>
            <sz val="11"/>
            <color theme="1"/>
            <rFont val="Calibri"/>
            <family val="2"/>
            <scheme val="minor"/>
          </rPr>
          <t>Introduzca un número con dos decimales como máximo</t>
        </r>
      </text>
    </comment>
    <comment ref="F730" authorId="1">
      <text>
        <r>
          <rPr>
            <sz val="11"/>
            <color theme="1"/>
            <rFont val="Calibri"/>
            <family val="2"/>
            <scheme val="minor"/>
          </rPr>
          <t>Monto calculado automáticamente por el sistema</t>
        </r>
      </text>
    </comment>
    <comment ref="A736" authorId="1">
      <text>
        <r>
          <rPr>
            <sz val="11"/>
            <color theme="1"/>
            <rFont val="Calibri"/>
            <family val="2"/>
            <scheme val="minor"/>
          </rPr>
          <t>Introducir un texto con el nombre o referencia de la contratación</t>
        </r>
      </text>
    </comment>
    <comment ref="B736" authorId="1">
      <text>
        <r>
          <rPr>
            <sz val="11"/>
            <color theme="1"/>
            <rFont val="Calibri"/>
            <family val="2"/>
            <scheme val="minor"/>
          </rPr>
          <t>Introduzca un texto con la finalidad de la contratación</t>
        </r>
      </text>
    </comment>
    <comment ref="C736" authorId="1">
      <text>
        <r>
          <rPr>
            <sz val="11"/>
            <color theme="1"/>
            <rFont val="Calibri"/>
            <family val="2"/>
            <scheme val="minor"/>
          </rPr>
          <t>Seleccionar un valor del listado</t>
        </r>
      </text>
    </comment>
    <comment ref="D736" authorId="1">
      <text>
        <r>
          <rPr>
            <sz val="11"/>
            <color theme="1"/>
            <rFont val="Calibri"/>
            <family val="2"/>
            <scheme val="minor"/>
          </rPr>
          <t>Seleccione el tipo de procedimiento</t>
        </r>
      </text>
    </comment>
    <comment ref="E736" authorId="1">
      <text>
        <r>
          <rPr>
            <sz val="11"/>
            <color theme="1"/>
            <rFont val="Calibri"/>
            <family val="2"/>
            <scheme val="minor"/>
          </rPr>
          <t>Seleccione un valor de la lista</t>
        </r>
      </text>
    </comment>
    <comment ref="F736" authorId="1">
      <text>
        <r>
          <rPr>
            <sz val="11"/>
            <color theme="1"/>
            <rFont val="Calibri"/>
            <family val="2"/>
            <scheme val="minor"/>
          </rPr>
          <t>Introduzca el código SNIP</t>
        </r>
      </text>
    </comment>
    <comment ref="C737" authorId="1">
      <text>
        <r>
          <rPr>
            <sz val="11"/>
            <color theme="1"/>
            <rFont val="Calibri"/>
            <family val="2"/>
            <scheme val="minor"/>
          </rPr>
          <t>Introduzca la fecha de inicio del proceso, en formato dd-mm-aaaa</t>
        </r>
      </text>
    </comment>
    <comment ref="F73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8" authorId="1">
      <text/>
    </comment>
    <comment ref="C739" authorId="1">
      <text>
        <r>
          <rPr>
            <sz val="11"/>
            <color theme="1"/>
            <rFont val="Calibri"/>
            <family val="2"/>
            <scheme val="minor"/>
          </rPr>
          <t>Introduzca la fecha prevista de adjudicación, en formato dd-mm-aaaa</t>
        </r>
      </text>
    </comment>
    <comment ref="F739" authorId="1">
      <text/>
    </comment>
    <comment ref="F740" authorId="1">
      <text/>
    </comment>
    <comment ref="A742" authorId="1">
      <text>
        <r>
          <rPr>
            <sz val="11"/>
            <color theme="1"/>
            <rFont val="Calibri"/>
            <family val="2"/>
            <scheme val="minor"/>
          </rPr>
          <t>Introduzca un codigo UNSPSC</t>
        </r>
      </text>
    </comment>
    <comment ref="B742" authorId="1">
      <text>
        <r>
          <rPr>
            <sz val="11"/>
            <color theme="1"/>
            <rFont val="Calibri"/>
            <family val="2"/>
            <scheme val="minor"/>
          </rPr>
          <t>Descripción calculada automáticamente a partir de código del artículo</t>
        </r>
      </text>
    </comment>
    <comment ref="C742" authorId="1">
      <text>
        <r>
          <rPr>
            <sz val="11"/>
            <color theme="1"/>
            <rFont val="Calibri"/>
            <family val="2"/>
            <scheme val="minor"/>
          </rPr>
          <t>Seleccione un valor de la lista</t>
        </r>
      </text>
    </comment>
    <comment ref="D742" authorId="1">
      <text>
        <r>
          <rPr>
            <sz val="11"/>
            <color theme="1"/>
            <rFont val="Calibri"/>
            <family val="2"/>
            <scheme val="minor"/>
          </rPr>
          <t>Introduzca un número con dos decimales como máximo. Debe ser igual o mayor a la "Cantidad Real Consumida"</t>
        </r>
      </text>
    </comment>
    <comment ref="E742" authorId="1">
      <text>
        <r>
          <rPr>
            <sz val="11"/>
            <color theme="1"/>
            <rFont val="Calibri"/>
            <family val="2"/>
            <scheme val="minor"/>
          </rPr>
          <t>Introduzca un número con dos decimales como máximo</t>
        </r>
      </text>
    </comment>
    <comment ref="F742" authorId="1">
      <text>
        <r>
          <rPr>
            <sz val="11"/>
            <color theme="1"/>
            <rFont val="Calibri"/>
            <family val="2"/>
            <scheme val="minor"/>
          </rPr>
          <t>Monto calculado automáticamente por el sistema</t>
        </r>
      </text>
    </comment>
    <comment ref="A747" authorId="1">
      <text>
        <r>
          <rPr>
            <sz val="11"/>
            <color theme="1"/>
            <rFont val="Calibri"/>
            <family val="2"/>
            <scheme val="minor"/>
          </rPr>
          <t>Introducir un texto con el nombre o referencia de la contratación</t>
        </r>
      </text>
    </comment>
    <comment ref="B747" authorId="1">
      <text>
        <r>
          <rPr>
            <sz val="11"/>
            <color theme="1"/>
            <rFont val="Calibri"/>
            <family val="2"/>
            <scheme val="minor"/>
          </rPr>
          <t>Introduzca un texto con la finalidad de la contratación</t>
        </r>
      </text>
    </comment>
    <comment ref="C747" authorId="1">
      <text>
        <r>
          <rPr>
            <sz val="11"/>
            <color theme="1"/>
            <rFont val="Calibri"/>
            <family val="2"/>
            <scheme val="minor"/>
          </rPr>
          <t>Seleccionar un valor del listado</t>
        </r>
      </text>
    </comment>
    <comment ref="D747" authorId="1">
      <text>
        <r>
          <rPr>
            <sz val="11"/>
            <color theme="1"/>
            <rFont val="Calibri"/>
            <family val="2"/>
            <scheme val="minor"/>
          </rPr>
          <t>Seleccione el tipo de procedimiento</t>
        </r>
      </text>
    </comment>
    <comment ref="E747" authorId="1">
      <text>
        <r>
          <rPr>
            <sz val="11"/>
            <color theme="1"/>
            <rFont val="Calibri"/>
            <family val="2"/>
            <scheme val="minor"/>
          </rPr>
          <t>Seleccione un valor de la lista</t>
        </r>
      </text>
    </comment>
    <comment ref="F747" authorId="1">
      <text>
        <r>
          <rPr>
            <sz val="11"/>
            <color theme="1"/>
            <rFont val="Calibri"/>
            <family val="2"/>
            <scheme val="minor"/>
          </rPr>
          <t>Introduzca el código SNIP</t>
        </r>
      </text>
    </comment>
    <comment ref="C748" authorId="1">
      <text>
        <r>
          <rPr>
            <sz val="11"/>
            <color theme="1"/>
            <rFont val="Calibri"/>
            <family val="2"/>
            <scheme val="minor"/>
          </rPr>
          <t>Introduzca la fecha de inicio del proceso, en formato dd-mm-aaaa</t>
        </r>
      </text>
    </comment>
    <comment ref="F74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9" authorId="1">
      <text/>
    </comment>
    <comment ref="C750" authorId="1">
      <text>
        <r>
          <rPr>
            <sz val="11"/>
            <color theme="1"/>
            <rFont val="Calibri"/>
            <family val="2"/>
            <scheme val="minor"/>
          </rPr>
          <t>Introduzca la fecha prevista de adjudicación, en formato dd-mm-aaaa</t>
        </r>
      </text>
    </comment>
    <comment ref="F750" authorId="1">
      <text/>
    </comment>
    <comment ref="F751" authorId="1">
      <text/>
    </comment>
    <comment ref="A753" authorId="1">
      <text>
        <r>
          <rPr>
            <sz val="11"/>
            <color theme="1"/>
            <rFont val="Calibri"/>
            <family val="2"/>
            <scheme val="minor"/>
          </rPr>
          <t>Introduzca un codigo UNSPSC</t>
        </r>
      </text>
    </comment>
    <comment ref="B753" authorId="1">
      <text>
        <r>
          <rPr>
            <sz val="11"/>
            <color theme="1"/>
            <rFont val="Calibri"/>
            <family val="2"/>
            <scheme val="minor"/>
          </rPr>
          <t>Descripción calculada automáticamente a partir de código del artículo</t>
        </r>
      </text>
    </comment>
    <comment ref="C753" authorId="1">
      <text>
        <r>
          <rPr>
            <sz val="11"/>
            <color theme="1"/>
            <rFont val="Calibri"/>
            <family val="2"/>
            <scheme val="minor"/>
          </rPr>
          <t>Seleccione un valor de la lista</t>
        </r>
      </text>
    </comment>
    <comment ref="D753" authorId="1">
      <text>
        <r>
          <rPr>
            <sz val="11"/>
            <color theme="1"/>
            <rFont val="Calibri"/>
            <family val="2"/>
            <scheme val="minor"/>
          </rPr>
          <t>Introduzca un número con dos decimales como máximo. Debe ser igual o mayor a la "Cantidad Real Consumida"</t>
        </r>
      </text>
    </comment>
    <comment ref="E753" authorId="1">
      <text>
        <r>
          <rPr>
            <sz val="11"/>
            <color theme="1"/>
            <rFont val="Calibri"/>
            <family val="2"/>
            <scheme val="minor"/>
          </rPr>
          <t>Introduzca un número con dos decimales como máximo</t>
        </r>
      </text>
    </comment>
    <comment ref="F753" authorId="1">
      <text>
        <r>
          <rPr>
            <sz val="11"/>
            <color theme="1"/>
            <rFont val="Calibri"/>
            <family val="2"/>
            <scheme val="minor"/>
          </rPr>
          <t>Monto calculado automáticamente por el sistema</t>
        </r>
      </text>
    </comment>
    <comment ref="A758" authorId="1">
      <text>
        <r>
          <rPr>
            <sz val="11"/>
            <color theme="1"/>
            <rFont val="Calibri"/>
            <family val="2"/>
            <scheme val="minor"/>
          </rPr>
          <t>Introducir un texto con el nombre o referencia de la contratación</t>
        </r>
      </text>
    </comment>
    <comment ref="B758" authorId="1">
      <text>
        <r>
          <rPr>
            <sz val="11"/>
            <color theme="1"/>
            <rFont val="Calibri"/>
            <family val="2"/>
            <scheme val="minor"/>
          </rPr>
          <t>Introduzca un texto con la finalidad de la contratación</t>
        </r>
      </text>
    </comment>
    <comment ref="C758" authorId="1">
      <text>
        <r>
          <rPr>
            <sz val="11"/>
            <color theme="1"/>
            <rFont val="Calibri"/>
            <family val="2"/>
            <scheme val="minor"/>
          </rPr>
          <t>Seleccionar un valor del listado</t>
        </r>
      </text>
    </comment>
    <comment ref="D758" authorId="1">
      <text>
        <r>
          <rPr>
            <sz val="11"/>
            <color theme="1"/>
            <rFont val="Calibri"/>
            <family val="2"/>
            <scheme val="minor"/>
          </rPr>
          <t>Seleccione el tipo de procedimiento</t>
        </r>
      </text>
    </comment>
    <comment ref="E758" authorId="1">
      <text>
        <r>
          <rPr>
            <sz val="11"/>
            <color theme="1"/>
            <rFont val="Calibri"/>
            <family val="2"/>
            <scheme val="minor"/>
          </rPr>
          <t>Seleccione un valor de la lista</t>
        </r>
      </text>
    </comment>
    <comment ref="F758" authorId="1">
      <text>
        <r>
          <rPr>
            <sz val="11"/>
            <color theme="1"/>
            <rFont val="Calibri"/>
            <family val="2"/>
            <scheme val="minor"/>
          </rPr>
          <t>Introduzca el código SNIP</t>
        </r>
      </text>
    </comment>
    <comment ref="C759" authorId="1">
      <text>
        <r>
          <rPr>
            <sz val="11"/>
            <color theme="1"/>
            <rFont val="Calibri"/>
            <family val="2"/>
            <scheme val="minor"/>
          </rPr>
          <t>Introduzca la fecha de inicio del proceso, en formato dd-mm-aaaa</t>
        </r>
      </text>
    </comment>
    <comment ref="F75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0" authorId="1">
      <text/>
    </comment>
    <comment ref="C761" authorId="1">
      <text>
        <r>
          <rPr>
            <sz val="11"/>
            <color theme="1"/>
            <rFont val="Calibri"/>
            <family val="2"/>
            <scheme val="minor"/>
          </rPr>
          <t>Introduzca la fecha prevista de adjudicación, en formato dd-mm-aaaa</t>
        </r>
      </text>
    </comment>
    <comment ref="F761" authorId="1">
      <text/>
    </comment>
    <comment ref="F762" authorId="1">
      <text/>
    </comment>
    <comment ref="A764" authorId="1">
      <text>
        <r>
          <rPr>
            <sz val="11"/>
            <color theme="1"/>
            <rFont val="Calibri"/>
            <family val="2"/>
            <scheme val="minor"/>
          </rPr>
          <t>Introduzca un codigo UNSPSC</t>
        </r>
      </text>
    </comment>
    <comment ref="B764" authorId="1">
      <text>
        <r>
          <rPr>
            <sz val="11"/>
            <color theme="1"/>
            <rFont val="Calibri"/>
            <family val="2"/>
            <scheme val="minor"/>
          </rPr>
          <t>Descripción calculada automáticamente a partir de código del artículo</t>
        </r>
      </text>
    </comment>
    <comment ref="C764" authorId="1">
      <text>
        <r>
          <rPr>
            <sz val="11"/>
            <color theme="1"/>
            <rFont val="Calibri"/>
            <family val="2"/>
            <scheme val="minor"/>
          </rPr>
          <t>Seleccione un valor de la lista</t>
        </r>
      </text>
    </comment>
    <comment ref="D764" authorId="1">
      <text>
        <r>
          <rPr>
            <sz val="11"/>
            <color theme="1"/>
            <rFont val="Calibri"/>
            <family val="2"/>
            <scheme val="minor"/>
          </rPr>
          <t>Introduzca un número con dos decimales como máximo. Debe ser igual o mayor a la "Cantidad Real Consumida"</t>
        </r>
      </text>
    </comment>
    <comment ref="E764" authorId="1">
      <text>
        <r>
          <rPr>
            <sz val="11"/>
            <color theme="1"/>
            <rFont val="Calibri"/>
            <family val="2"/>
            <scheme val="minor"/>
          </rPr>
          <t>Introduzca un número con dos decimales como máximo</t>
        </r>
      </text>
    </comment>
    <comment ref="F764" authorId="1">
      <text>
        <r>
          <rPr>
            <sz val="11"/>
            <color theme="1"/>
            <rFont val="Calibri"/>
            <family val="2"/>
            <scheme val="minor"/>
          </rPr>
          <t>Monto calculado automáticamente por el sistema</t>
        </r>
      </text>
    </comment>
    <comment ref="A769" authorId="1">
      <text>
        <r>
          <rPr>
            <sz val="11"/>
            <color theme="1"/>
            <rFont val="Calibri"/>
            <family val="2"/>
            <scheme val="minor"/>
          </rPr>
          <t>Introducir un texto con el nombre o referencia de la contratación</t>
        </r>
      </text>
    </comment>
    <comment ref="B769" authorId="1">
      <text>
        <r>
          <rPr>
            <sz val="11"/>
            <color theme="1"/>
            <rFont val="Calibri"/>
            <family val="2"/>
            <scheme val="minor"/>
          </rPr>
          <t>Introduzca un texto con la finalidad de la contratación</t>
        </r>
      </text>
    </comment>
    <comment ref="C769" authorId="1">
      <text>
        <r>
          <rPr>
            <sz val="11"/>
            <color theme="1"/>
            <rFont val="Calibri"/>
            <family val="2"/>
            <scheme val="minor"/>
          </rPr>
          <t>Seleccionar un valor del listado</t>
        </r>
      </text>
    </comment>
    <comment ref="D769" authorId="1">
      <text>
        <r>
          <rPr>
            <sz val="11"/>
            <color theme="1"/>
            <rFont val="Calibri"/>
            <family val="2"/>
            <scheme val="minor"/>
          </rPr>
          <t>Seleccione el tipo de procedimiento</t>
        </r>
      </text>
    </comment>
    <comment ref="E769" authorId="1">
      <text>
        <r>
          <rPr>
            <sz val="11"/>
            <color theme="1"/>
            <rFont val="Calibri"/>
            <family val="2"/>
            <scheme val="minor"/>
          </rPr>
          <t>Seleccione un valor de la lista</t>
        </r>
      </text>
    </comment>
    <comment ref="F769" authorId="1">
      <text>
        <r>
          <rPr>
            <sz val="11"/>
            <color theme="1"/>
            <rFont val="Calibri"/>
            <family val="2"/>
            <scheme val="minor"/>
          </rPr>
          <t>Introduzca el código SNIP</t>
        </r>
      </text>
    </comment>
    <comment ref="C770" authorId="1">
      <text>
        <r>
          <rPr>
            <sz val="11"/>
            <color theme="1"/>
            <rFont val="Calibri"/>
            <family val="2"/>
            <scheme val="minor"/>
          </rPr>
          <t>Introduzca la fecha de inicio del proceso, en formato dd-mm-aaaa</t>
        </r>
      </text>
    </comment>
    <comment ref="F77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1" authorId="1">
      <text/>
    </comment>
    <comment ref="C772" authorId="1">
      <text>
        <r>
          <rPr>
            <sz val="11"/>
            <color theme="1"/>
            <rFont val="Calibri"/>
            <family val="2"/>
            <scheme val="minor"/>
          </rPr>
          <t>Introduzca la fecha prevista de adjudicación, en formato dd-mm-aaaa</t>
        </r>
      </text>
    </comment>
    <comment ref="F772" authorId="1">
      <text/>
    </comment>
    <comment ref="F773" authorId="1">
      <text/>
    </comment>
    <comment ref="A775" authorId="1">
      <text>
        <r>
          <rPr>
            <sz val="11"/>
            <color theme="1"/>
            <rFont val="Calibri"/>
            <family val="2"/>
            <scheme val="minor"/>
          </rPr>
          <t>Introduzca un codigo UNSPSC</t>
        </r>
      </text>
    </comment>
    <comment ref="B775" authorId="1">
      <text>
        <r>
          <rPr>
            <sz val="11"/>
            <color theme="1"/>
            <rFont val="Calibri"/>
            <family val="2"/>
            <scheme val="minor"/>
          </rPr>
          <t>Descripción calculada automáticamente a partir de código del artículo</t>
        </r>
      </text>
    </comment>
    <comment ref="C775" authorId="1">
      <text>
        <r>
          <rPr>
            <sz val="11"/>
            <color theme="1"/>
            <rFont val="Calibri"/>
            <family val="2"/>
            <scheme val="minor"/>
          </rPr>
          <t>Seleccione un valor de la lista</t>
        </r>
      </text>
    </comment>
    <comment ref="D775" authorId="1">
      <text>
        <r>
          <rPr>
            <sz val="11"/>
            <color theme="1"/>
            <rFont val="Calibri"/>
            <family val="2"/>
            <scheme val="minor"/>
          </rPr>
          <t>Introduzca un número con dos decimales como máximo. Debe ser igual o mayor a la "Cantidad Real Consumida"</t>
        </r>
      </text>
    </comment>
    <comment ref="E775" authorId="1">
      <text>
        <r>
          <rPr>
            <sz val="11"/>
            <color theme="1"/>
            <rFont val="Calibri"/>
            <family val="2"/>
            <scheme val="minor"/>
          </rPr>
          <t>Introduzca un número con dos decimales como máximo</t>
        </r>
      </text>
    </comment>
    <comment ref="F775" authorId="1">
      <text>
        <r>
          <rPr>
            <sz val="11"/>
            <color theme="1"/>
            <rFont val="Calibri"/>
            <family val="2"/>
            <scheme val="minor"/>
          </rPr>
          <t>Monto calculado automáticamente por el sistema</t>
        </r>
      </text>
    </comment>
    <comment ref="A780" authorId="1">
      <text>
        <r>
          <rPr>
            <sz val="11"/>
            <color theme="1"/>
            <rFont val="Calibri"/>
            <family val="2"/>
            <scheme val="minor"/>
          </rPr>
          <t>Introducir un texto con el nombre o referencia de la contratación</t>
        </r>
      </text>
    </comment>
    <comment ref="B780" authorId="1">
      <text>
        <r>
          <rPr>
            <sz val="11"/>
            <color theme="1"/>
            <rFont val="Calibri"/>
            <family val="2"/>
            <scheme val="minor"/>
          </rPr>
          <t>Introduzca un texto con la finalidad de la contratación</t>
        </r>
      </text>
    </comment>
    <comment ref="C780" authorId="1">
      <text>
        <r>
          <rPr>
            <sz val="11"/>
            <color theme="1"/>
            <rFont val="Calibri"/>
            <family val="2"/>
            <scheme val="minor"/>
          </rPr>
          <t>Seleccionar un valor del listado</t>
        </r>
      </text>
    </comment>
    <comment ref="D780" authorId="1">
      <text>
        <r>
          <rPr>
            <sz val="11"/>
            <color theme="1"/>
            <rFont val="Calibri"/>
            <family val="2"/>
            <scheme val="minor"/>
          </rPr>
          <t>Seleccione el tipo de procedimiento</t>
        </r>
      </text>
    </comment>
    <comment ref="E780" authorId="1">
      <text>
        <r>
          <rPr>
            <sz val="11"/>
            <color theme="1"/>
            <rFont val="Calibri"/>
            <family val="2"/>
            <scheme val="minor"/>
          </rPr>
          <t>Seleccione un valor de la lista</t>
        </r>
      </text>
    </comment>
    <comment ref="F780" authorId="1">
      <text>
        <r>
          <rPr>
            <sz val="11"/>
            <color theme="1"/>
            <rFont val="Calibri"/>
            <family val="2"/>
            <scheme val="minor"/>
          </rPr>
          <t>Introduzca el código SNIP</t>
        </r>
      </text>
    </comment>
    <comment ref="C781" authorId="1">
      <text>
        <r>
          <rPr>
            <sz val="11"/>
            <color theme="1"/>
            <rFont val="Calibri"/>
            <family val="2"/>
            <scheme val="minor"/>
          </rPr>
          <t>Introduzca la fecha de inicio del proceso, en formato dd-mm-aaaa</t>
        </r>
      </text>
    </comment>
    <comment ref="F78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2" authorId="1">
      <text/>
    </comment>
    <comment ref="C783" authorId="1">
      <text>
        <r>
          <rPr>
            <sz val="11"/>
            <color theme="1"/>
            <rFont val="Calibri"/>
            <family val="2"/>
            <scheme val="minor"/>
          </rPr>
          <t>Introduzca la fecha prevista de adjudicación, en formato dd-mm-aaaa</t>
        </r>
      </text>
    </comment>
    <comment ref="F783" authorId="1">
      <text/>
    </comment>
    <comment ref="F784" authorId="1">
      <text/>
    </comment>
    <comment ref="A786" authorId="1">
      <text>
        <r>
          <rPr>
            <sz val="11"/>
            <color theme="1"/>
            <rFont val="Calibri"/>
            <family val="2"/>
            <scheme val="minor"/>
          </rPr>
          <t>Introduzca un codigo UNSPSC</t>
        </r>
      </text>
    </comment>
    <comment ref="B786" authorId="1">
      <text>
        <r>
          <rPr>
            <sz val="11"/>
            <color theme="1"/>
            <rFont val="Calibri"/>
            <family val="2"/>
            <scheme val="minor"/>
          </rPr>
          <t>Descripción calculada automáticamente a partir de código del artículo</t>
        </r>
      </text>
    </comment>
    <comment ref="C786" authorId="1">
      <text>
        <r>
          <rPr>
            <sz val="11"/>
            <color theme="1"/>
            <rFont val="Calibri"/>
            <family val="2"/>
            <scheme val="minor"/>
          </rPr>
          <t>Seleccione un valor de la lista</t>
        </r>
      </text>
    </comment>
    <comment ref="D786" authorId="1">
      <text>
        <r>
          <rPr>
            <sz val="11"/>
            <color theme="1"/>
            <rFont val="Calibri"/>
            <family val="2"/>
            <scheme val="minor"/>
          </rPr>
          <t>Introduzca un número con dos decimales como máximo. Debe ser igual o mayor a la "Cantidad Real Consumida"</t>
        </r>
      </text>
    </comment>
    <comment ref="E786" authorId="1">
      <text>
        <r>
          <rPr>
            <sz val="11"/>
            <color theme="1"/>
            <rFont val="Calibri"/>
            <family val="2"/>
            <scheme val="minor"/>
          </rPr>
          <t>Introduzca un número con dos decimales como máximo</t>
        </r>
      </text>
    </comment>
    <comment ref="F786" authorId="1">
      <text>
        <r>
          <rPr>
            <sz val="11"/>
            <color theme="1"/>
            <rFont val="Calibri"/>
            <family val="2"/>
            <scheme val="minor"/>
          </rPr>
          <t>Monto calculado automáticamente por el sistema</t>
        </r>
      </text>
    </comment>
    <comment ref="A791" authorId="1">
      <text>
        <r>
          <rPr>
            <sz val="11"/>
            <color theme="1"/>
            <rFont val="Calibri"/>
            <family val="2"/>
            <scheme val="minor"/>
          </rPr>
          <t>Introducir un texto con el nombre o referencia de la contratación</t>
        </r>
      </text>
    </comment>
    <comment ref="B791" authorId="1">
      <text>
        <r>
          <rPr>
            <sz val="11"/>
            <color theme="1"/>
            <rFont val="Calibri"/>
            <family val="2"/>
            <scheme val="minor"/>
          </rPr>
          <t>Introduzca un texto con la finalidad de la contratación</t>
        </r>
      </text>
    </comment>
    <comment ref="C791" authorId="1">
      <text>
        <r>
          <rPr>
            <sz val="11"/>
            <color theme="1"/>
            <rFont val="Calibri"/>
            <family val="2"/>
            <scheme val="minor"/>
          </rPr>
          <t>Seleccionar un valor del listado</t>
        </r>
      </text>
    </comment>
    <comment ref="D791" authorId="1">
      <text>
        <r>
          <rPr>
            <sz val="11"/>
            <color theme="1"/>
            <rFont val="Calibri"/>
            <family val="2"/>
            <scheme val="minor"/>
          </rPr>
          <t>Seleccione el tipo de procedimiento</t>
        </r>
      </text>
    </comment>
    <comment ref="E791" authorId="1">
      <text>
        <r>
          <rPr>
            <sz val="11"/>
            <color theme="1"/>
            <rFont val="Calibri"/>
            <family val="2"/>
            <scheme val="minor"/>
          </rPr>
          <t>Seleccione un valor de la lista</t>
        </r>
      </text>
    </comment>
    <comment ref="F791" authorId="1">
      <text>
        <r>
          <rPr>
            <sz val="11"/>
            <color theme="1"/>
            <rFont val="Calibri"/>
            <family val="2"/>
            <scheme val="minor"/>
          </rPr>
          <t>Introduzca el código SNIP</t>
        </r>
      </text>
    </comment>
    <comment ref="C792" authorId="1">
      <text>
        <r>
          <rPr>
            <sz val="11"/>
            <color theme="1"/>
            <rFont val="Calibri"/>
            <family val="2"/>
            <scheme val="minor"/>
          </rPr>
          <t>Introduzca la fecha de inicio del proceso, en formato dd-mm-aaaa</t>
        </r>
      </text>
    </comment>
    <comment ref="F79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3" authorId="1">
      <text/>
    </comment>
    <comment ref="C794" authorId="1">
      <text>
        <r>
          <rPr>
            <sz val="11"/>
            <color theme="1"/>
            <rFont val="Calibri"/>
            <family val="2"/>
            <scheme val="minor"/>
          </rPr>
          <t>Introduzca la fecha prevista de adjudicación, en formato dd-mm-aaaa</t>
        </r>
      </text>
    </comment>
    <comment ref="F794" authorId="1">
      <text/>
    </comment>
    <comment ref="F795" authorId="1">
      <text/>
    </comment>
    <comment ref="A797" authorId="1">
      <text>
        <r>
          <rPr>
            <sz val="11"/>
            <color theme="1"/>
            <rFont val="Calibri"/>
            <family val="2"/>
            <scheme val="minor"/>
          </rPr>
          <t>Introduzca un codigo UNSPSC</t>
        </r>
      </text>
    </comment>
    <comment ref="B797" authorId="1">
      <text>
        <r>
          <rPr>
            <sz val="11"/>
            <color theme="1"/>
            <rFont val="Calibri"/>
            <family val="2"/>
            <scheme val="minor"/>
          </rPr>
          <t>Descripción calculada automáticamente a partir de código del artículo</t>
        </r>
      </text>
    </comment>
    <comment ref="C797" authorId="1">
      <text>
        <r>
          <rPr>
            <sz val="11"/>
            <color theme="1"/>
            <rFont val="Calibri"/>
            <family val="2"/>
            <scheme val="minor"/>
          </rPr>
          <t>Seleccione un valor de la lista</t>
        </r>
      </text>
    </comment>
    <comment ref="D797" authorId="1">
      <text>
        <r>
          <rPr>
            <sz val="11"/>
            <color theme="1"/>
            <rFont val="Calibri"/>
            <family val="2"/>
            <scheme val="minor"/>
          </rPr>
          <t>Introduzca un número con dos decimales como máximo. Debe ser igual o mayor a la "Cantidad Real Consumida"</t>
        </r>
      </text>
    </comment>
    <comment ref="E797" authorId="1">
      <text>
        <r>
          <rPr>
            <sz val="11"/>
            <color theme="1"/>
            <rFont val="Calibri"/>
            <family val="2"/>
            <scheme val="minor"/>
          </rPr>
          <t>Introduzca un número con dos decimales como máximo</t>
        </r>
      </text>
    </comment>
    <comment ref="F797" authorId="1">
      <text>
        <r>
          <rPr>
            <sz val="11"/>
            <color theme="1"/>
            <rFont val="Calibri"/>
            <family val="2"/>
            <scheme val="minor"/>
          </rPr>
          <t>Monto calculado automáticamente por el sistema</t>
        </r>
      </text>
    </comment>
    <comment ref="A802" authorId="1">
      <text>
        <r>
          <rPr>
            <sz val="11"/>
            <color theme="1"/>
            <rFont val="Calibri"/>
            <family val="2"/>
            <scheme val="minor"/>
          </rPr>
          <t>Introducir un texto con el nombre o referencia de la contratación</t>
        </r>
      </text>
    </comment>
    <comment ref="B802" authorId="1">
      <text>
        <r>
          <rPr>
            <sz val="11"/>
            <color theme="1"/>
            <rFont val="Calibri"/>
            <family val="2"/>
            <scheme val="minor"/>
          </rPr>
          <t>Introduzca un texto con la finalidad de la contratación</t>
        </r>
      </text>
    </comment>
    <comment ref="C802" authorId="1">
      <text>
        <r>
          <rPr>
            <sz val="11"/>
            <color theme="1"/>
            <rFont val="Calibri"/>
            <family val="2"/>
            <scheme val="minor"/>
          </rPr>
          <t>Seleccionar un valor del listado</t>
        </r>
      </text>
    </comment>
    <comment ref="D802" authorId="1">
      <text>
        <r>
          <rPr>
            <sz val="11"/>
            <color theme="1"/>
            <rFont val="Calibri"/>
            <family val="2"/>
            <scheme val="minor"/>
          </rPr>
          <t>Seleccione el tipo de procedimiento</t>
        </r>
      </text>
    </comment>
    <comment ref="E802" authorId="1">
      <text>
        <r>
          <rPr>
            <sz val="11"/>
            <color theme="1"/>
            <rFont val="Calibri"/>
            <family val="2"/>
            <scheme val="minor"/>
          </rPr>
          <t>Seleccione un valor de la lista</t>
        </r>
      </text>
    </comment>
    <comment ref="F802" authorId="1">
      <text>
        <r>
          <rPr>
            <sz val="11"/>
            <color theme="1"/>
            <rFont val="Calibri"/>
            <family val="2"/>
            <scheme val="minor"/>
          </rPr>
          <t>Introduzca el código SNIP</t>
        </r>
      </text>
    </comment>
    <comment ref="C803" authorId="1">
      <text>
        <r>
          <rPr>
            <sz val="11"/>
            <color theme="1"/>
            <rFont val="Calibri"/>
            <family val="2"/>
            <scheme val="minor"/>
          </rPr>
          <t>Introduzca la fecha de inicio del proceso, en formato dd-mm-aaaa</t>
        </r>
      </text>
    </comment>
    <comment ref="F80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4" authorId="1">
      <text/>
    </comment>
    <comment ref="C805" authorId="1">
      <text>
        <r>
          <rPr>
            <sz val="11"/>
            <color theme="1"/>
            <rFont val="Calibri"/>
            <family val="2"/>
            <scheme val="minor"/>
          </rPr>
          <t>Introduzca la fecha prevista de adjudicación, en formato dd-mm-aaaa</t>
        </r>
      </text>
    </comment>
    <comment ref="F805" authorId="1">
      <text/>
    </comment>
    <comment ref="F806" authorId="1">
      <text/>
    </comment>
    <comment ref="A808" authorId="1">
      <text>
        <r>
          <rPr>
            <sz val="11"/>
            <color theme="1"/>
            <rFont val="Calibri"/>
            <family val="2"/>
            <scheme val="minor"/>
          </rPr>
          <t>Introduzca un codigo UNSPSC</t>
        </r>
      </text>
    </comment>
    <comment ref="B808" authorId="1">
      <text>
        <r>
          <rPr>
            <sz val="11"/>
            <color theme="1"/>
            <rFont val="Calibri"/>
            <family val="2"/>
            <scheme val="minor"/>
          </rPr>
          <t>Descripción calculada automáticamente a partir de código del artículo</t>
        </r>
      </text>
    </comment>
    <comment ref="C808" authorId="1">
      <text>
        <r>
          <rPr>
            <sz val="11"/>
            <color theme="1"/>
            <rFont val="Calibri"/>
            <family val="2"/>
            <scheme val="minor"/>
          </rPr>
          <t>Seleccione un valor de la lista</t>
        </r>
      </text>
    </comment>
    <comment ref="D808" authorId="1">
      <text>
        <r>
          <rPr>
            <sz val="11"/>
            <color theme="1"/>
            <rFont val="Calibri"/>
            <family val="2"/>
            <scheme val="minor"/>
          </rPr>
          <t>Introduzca un número con dos decimales como máximo. Debe ser igual o mayor a la "Cantidad Real Consumida"</t>
        </r>
      </text>
    </comment>
    <comment ref="E808" authorId="1">
      <text>
        <r>
          <rPr>
            <sz val="11"/>
            <color theme="1"/>
            <rFont val="Calibri"/>
            <family val="2"/>
            <scheme val="minor"/>
          </rPr>
          <t>Introduzca un número con dos decimales como máximo</t>
        </r>
      </text>
    </comment>
    <comment ref="F808" authorId="1">
      <text>
        <r>
          <rPr>
            <sz val="11"/>
            <color theme="1"/>
            <rFont val="Calibri"/>
            <family val="2"/>
            <scheme val="minor"/>
          </rPr>
          <t>Monto calculado automáticamente por el sistema</t>
        </r>
      </text>
    </comment>
    <comment ref="A813" authorId="1">
      <text>
        <r>
          <rPr>
            <sz val="11"/>
            <color theme="1"/>
            <rFont val="Calibri"/>
            <family val="2"/>
            <scheme val="minor"/>
          </rPr>
          <t>Introducir un texto con el nombre o referencia de la contratación</t>
        </r>
      </text>
    </comment>
    <comment ref="B813" authorId="1">
      <text>
        <r>
          <rPr>
            <sz val="11"/>
            <color theme="1"/>
            <rFont val="Calibri"/>
            <family val="2"/>
            <scheme val="minor"/>
          </rPr>
          <t>Introduzca un texto con la finalidad de la contratación</t>
        </r>
      </text>
    </comment>
    <comment ref="C813" authorId="1">
      <text>
        <r>
          <rPr>
            <sz val="11"/>
            <color theme="1"/>
            <rFont val="Calibri"/>
            <family val="2"/>
            <scheme val="minor"/>
          </rPr>
          <t>Seleccionar un valor del listado</t>
        </r>
      </text>
    </comment>
    <comment ref="D813" authorId="1">
      <text>
        <r>
          <rPr>
            <sz val="11"/>
            <color theme="1"/>
            <rFont val="Calibri"/>
            <family val="2"/>
            <scheme val="minor"/>
          </rPr>
          <t>Seleccione el tipo de procedimiento</t>
        </r>
      </text>
    </comment>
    <comment ref="E813" authorId="1">
      <text>
        <r>
          <rPr>
            <sz val="11"/>
            <color theme="1"/>
            <rFont val="Calibri"/>
            <family val="2"/>
            <scheme val="minor"/>
          </rPr>
          <t>Seleccione un valor de la lista</t>
        </r>
      </text>
    </comment>
    <comment ref="F813" authorId="1">
      <text>
        <r>
          <rPr>
            <sz val="11"/>
            <color theme="1"/>
            <rFont val="Calibri"/>
            <family val="2"/>
            <scheme val="minor"/>
          </rPr>
          <t>Introduzca el código SNIP</t>
        </r>
      </text>
    </comment>
    <comment ref="C814" authorId="1">
      <text>
        <r>
          <rPr>
            <sz val="11"/>
            <color theme="1"/>
            <rFont val="Calibri"/>
            <family val="2"/>
            <scheme val="minor"/>
          </rPr>
          <t>Introduzca la fecha de inicio del proceso, en formato dd-mm-aaaa</t>
        </r>
      </text>
    </comment>
    <comment ref="F81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5" authorId="1">
      <text/>
    </comment>
    <comment ref="C816" authorId="1">
      <text>
        <r>
          <rPr>
            <sz val="11"/>
            <color theme="1"/>
            <rFont val="Calibri"/>
            <family val="2"/>
            <scheme val="minor"/>
          </rPr>
          <t>Introduzca la fecha prevista de adjudicación, en formato dd-mm-aaaa</t>
        </r>
      </text>
    </comment>
    <comment ref="F816" authorId="1">
      <text/>
    </comment>
    <comment ref="F817" authorId="1">
      <text/>
    </comment>
    <comment ref="A819" authorId="1">
      <text>
        <r>
          <rPr>
            <sz val="11"/>
            <color theme="1"/>
            <rFont val="Calibri"/>
            <family val="2"/>
            <scheme val="minor"/>
          </rPr>
          <t>Introduzca un codigo UNSPSC</t>
        </r>
      </text>
    </comment>
    <comment ref="B819" authorId="1">
      <text>
        <r>
          <rPr>
            <sz val="11"/>
            <color theme="1"/>
            <rFont val="Calibri"/>
            <family val="2"/>
            <scheme val="minor"/>
          </rPr>
          <t>Descripción calculada automáticamente a partir de código del artículo</t>
        </r>
      </text>
    </comment>
    <comment ref="C819" authorId="1">
      <text>
        <r>
          <rPr>
            <sz val="11"/>
            <color theme="1"/>
            <rFont val="Calibri"/>
            <family val="2"/>
            <scheme val="minor"/>
          </rPr>
          <t>Seleccione un valor de la lista</t>
        </r>
      </text>
    </comment>
    <comment ref="D819" authorId="1">
      <text>
        <r>
          <rPr>
            <sz val="11"/>
            <color theme="1"/>
            <rFont val="Calibri"/>
            <family val="2"/>
            <scheme val="minor"/>
          </rPr>
          <t>Introduzca un número con dos decimales como máximo. Debe ser igual o mayor a la "Cantidad Real Consumida"</t>
        </r>
      </text>
    </comment>
    <comment ref="E819" authorId="1">
      <text>
        <r>
          <rPr>
            <sz val="11"/>
            <color theme="1"/>
            <rFont val="Calibri"/>
            <family val="2"/>
            <scheme val="minor"/>
          </rPr>
          <t>Introduzca un número con dos decimales como máximo</t>
        </r>
      </text>
    </comment>
    <comment ref="F819" authorId="1">
      <text>
        <r>
          <rPr>
            <sz val="11"/>
            <color theme="1"/>
            <rFont val="Calibri"/>
            <family val="2"/>
            <scheme val="minor"/>
          </rPr>
          <t>Monto calculado automáticamente por el sistema</t>
        </r>
      </text>
    </comment>
    <comment ref="A824" authorId="1">
      <text>
        <r>
          <rPr>
            <sz val="11"/>
            <color theme="1"/>
            <rFont val="Calibri"/>
            <family val="2"/>
            <scheme val="minor"/>
          </rPr>
          <t>Introducir un texto con el nombre o referencia de la contratación</t>
        </r>
      </text>
    </comment>
    <comment ref="B824" authorId="1">
      <text>
        <r>
          <rPr>
            <sz val="11"/>
            <color theme="1"/>
            <rFont val="Calibri"/>
            <family val="2"/>
            <scheme val="minor"/>
          </rPr>
          <t>Introduzca un texto con la finalidad de la contratación</t>
        </r>
      </text>
    </comment>
    <comment ref="C824" authorId="1">
      <text>
        <r>
          <rPr>
            <sz val="11"/>
            <color theme="1"/>
            <rFont val="Calibri"/>
            <family val="2"/>
            <scheme val="minor"/>
          </rPr>
          <t>Seleccionar un valor del listado</t>
        </r>
      </text>
    </comment>
    <comment ref="D824" authorId="1">
      <text>
        <r>
          <rPr>
            <sz val="11"/>
            <color theme="1"/>
            <rFont val="Calibri"/>
            <family val="2"/>
            <scheme val="minor"/>
          </rPr>
          <t>Seleccione el tipo de procedimiento</t>
        </r>
      </text>
    </comment>
    <comment ref="E824" authorId="1">
      <text>
        <r>
          <rPr>
            <sz val="11"/>
            <color theme="1"/>
            <rFont val="Calibri"/>
            <family val="2"/>
            <scheme val="minor"/>
          </rPr>
          <t>Seleccione un valor de la lista</t>
        </r>
      </text>
    </comment>
    <comment ref="F824" authorId="1">
      <text>
        <r>
          <rPr>
            <sz val="11"/>
            <color theme="1"/>
            <rFont val="Calibri"/>
            <family val="2"/>
            <scheme val="minor"/>
          </rPr>
          <t>Introduzca el código SNIP</t>
        </r>
      </text>
    </comment>
    <comment ref="C825" authorId="1">
      <text>
        <r>
          <rPr>
            <sz val="11"/>
            <color theme="1"/>
            <rFont val="Calibri"/>
            <family val="2"/>
            <scheme val="minor"/>
          </rPr>
          <t>Introduzca la fecha de inicio del proceso, en formato dd-mm-aaaa</t>
        </r>
      </text>
    </comment>
    <comment ref="F82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6" authorId="1">
      <text/>
    </comment>
    <comment ref="C827" authorId="1">
      <text>
        <r>
          <rPr>
            <sz val="11"/>
            <color theme="1"/>
            <rFont val="Calibri"/>
            <family val="2"/>
            <scheme val="minor"/>
          </rPr>
          <t>Introduzca la fecha prevista de adjudicación, en formato dd-mm-aaaa</t>
        </r>
      </text>
    </comment>
    <comment ref="F827" authorId="1">
      <text/>
    </comment>
    <comment ref="F828" authorId="1">
      <text/>
    </comment>
    <comment ref="A830" authorId="1">
      <text>
        <r>
          <rPr>
            <sz val="11"/>
            <color theme="1"/>
            <rFont val="Calibri"/>
            <family val="2"/>
            <scheme val="minor"/>
          </rPr>
          <t>Introduzca un codigo UNSPSC</t>
        </r>
      </text>
    </comment>
    <comment ref="B830" authorId="1">
      <text>
        <r>
          <rPr>
            <sz val="11"/>
            <color theme="1"/>
            <rFont val="Calibri"/>
            <family val="2"/>
            <scheme val="minor"/>
          </rPr>
          <t>Descripción calculada automáticamente a partir de código del artículo</t>
        </r>
      </text>
    </comment>
    <comment ref="C830" authorId="1">
      <text>
        <r>
          <rPr>
            <sz val="11"/>
            <color theme="1"/>
            <rFont val="Calibri"/>
            <family val="2"/>
            <scheme val="minor"/>
          </rPr>
          <t>Seleccione un valor de la lista</t>
        </r>
      </text>
    </comment>
    <comment ref="D830" authorId="1">
      <text>
        <r>
          <rPr>
            <sz val="11"/>
            <color theme="1"/>
            <rFont val="Calibri"/>
            <family val="2"/>
            <scheme val="minor"/>
          </rPr>
          <t>Introduzca un número con dos decimales como máximo. Debe ser igual o mayor a la "Cantidad Real Consumida"</t>
        </r>
      </text>
    </comment>
    <comment ref="E830" authorId="1">
      <text>
        <r>
          <rPr>
            <sz val="11"/>
            <color theme="1"/>
            <rFont val="Calibri"/>
            <family val="2"/>
            <scheme val="minor"/>
          </rPr>
          <t>Introduzca un número con dos decimales como máximo</t>
        </r>
      </text>
    </comment>
    <comment ref="F830" authorId="1">
      <text>
        <r>
          <rPr>
            <sz val="11"/>
            <color theme="1"/>
            <rFont val="Calibri"/>
            <family val="2"/>
            <scheme val="minor"/>
          </rPr>
          <t>Monto calculado automáticamente por el sistema</t>
        </r>
      </text>
    </comment>
    <comment ref="A835" authorId="1">
      <text>
        <r>
          <rPr>
            <sz val="11"/>
            <color theme="1"/>
            <rFont val="Calibri"/>
            <family val="2"/>
            <scheme val="minor"/>
          </rPr>
          <t>Introducir un texto con el nombre o referencia de la contratación</t>
        </r>
      </text>
    </comment>
    <comment ref="B835" authorId="1">
      <text>
        <r>
          <rPr>
            <sz val="11"/>
            <color theme="1"/>
            <rFont val="Calibri"/>
            <family val="2"/>
            <scheme val="minor"/>
          </rPr>
          <t>Introduzca un texto con la finalidad de la contratación</t>
        </r>
      </text>
    </comment>
    <comment ref="C835" authorId="1">
      <text>
        <r>
          <rPr>
            <sz val="11"/>
            <color theme="1"/>
            <rFont val="Calibri"/>
            <family val="2"/>
            <scheme val="minor"/>
          </rPr>
          <t>Seleccionar un valor del listado</t>
        </r>
      </text>
    </comment>
    <comment ref="D835" authorId="1">
      <text>
        <r>
          <rPr>
            <sz val="11"/>
            <color theme="1"/>
            <rFont val="Calibri"/>
            <family val="2"/>
            <scheme val="minor"/>
          </rPr>
          <t>Seleccione el tipo de procedimiento</t>
        </r>
      </text>
    </comment>
    <comment ref="E835" authorId="1">
      <text>
        <r>
          <rPr>
            <sz val="11"/>
            <color theme="1"/>
            <rFont val="Calibri"/>
            <family val="2"/>
            <scheme val="minor"/>
          </rPr>
          <t>Seleccione un valor de la lista</t>
        </r>
      </text>
    </comment>
    <comment ref="F835" authorId="1">
      <text>
        <r>
          <rPr>
            <sz val="11"/>
            <color theme="1"/>
            <rFont val="Calibri"/>
            <family val="2"/>
            <scheme val="minor"/>
          </rPr>
          <t>Introduzca el código SNIP</t>
        </r>
      </text>
    </comment>
    <comment ref="C836" authorId="1">
      <text>
        <r>
          <rPr>
            <sz val="11"/>
            <color theme="1"/>
            <rFont val="Calibri"/>
            <family val="2"/>
            <scheme val="minor"/>
          </rPr>
          <t>Introduzca la fecha de inicio del proceso, en formato dd-mm-aaaa</t>
        </r>
      </text>
    </comment>
    <comment ref="F83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7" authorId="1">
      <text/>
    </comment>
    <comment ref="C838" authorId="1">
      <text>
        <r>
          <rPr>
            <sz val="11"/>
            <color theme="1"/>
            <rFont val="Calibri"/>
            <family val="2"/>
            <scheme val="minor"/>
          </rPr>
          <t>Introduzca la fecha prevista de adjudicación, en formato dd-mm-aaaa</t>
        </r>
      </text>
    </comment>
    <comment ref="F838" authorId="1">
      <text/>
    </comment>
    <comment ref="F839" authorId="1">
      <text/>
    </comment>
    <comment ref="A841" authorId="1">
      <text>
        <r>
          <rPr>
            <sz val="11"/>
            <color theme="1"/>
            <rFont val="Calibri"/>
            <family val="2"/>
            <scheme val="minor"/>
          </rPr>
          <t>Introduzca un codigo UNSPSC</t>
        </r>
      </text>
    </comment>
    <comment ref="B841" authorId="1">
      <text>
        <r>
          <rPr>
            <sz val="11"/>
            <color theme="1"/>
            <rFont val="Calibri"/>
            <family val="2"/>
            <scheme val="minor"/>
          </rPr>
          <t>Descripción calculada automáticamente a partir de código del artículo</t>
        </r>
      </text>
    </comment>
    <comment ref="C841" authorId="1">
      <text>
        <r>
          <rPr>
            <sz val="11"/>
            <color theme="1"/>
            <rFont val="Calibri"/>
            <family val="2"/>
            <scheme val="minor"/>
          </rPr>
          <t>Seleccione un valor de la lista</t>
        </r>
      </text>
    </comment>
    <comment ref="D841" authorId="1">
      <text>
        <r>
          <rPr>
            <sz val="11"/>
            <color theme="1"/>
            <rFont val="Calibri"/>
            <family val="2"/>
            <scheme val="minor"/>
          </rPr>
          <t>Introduzca un número con dos decimales como máximo. Debe ser igual o mayor a la "Cantidad Real Consumida"</t>
        </r>
      </text>
    </comment>
    <comment ref="E841" authorId="1">
      <text>
        <r>
          <rPr>
            <sz val="11"/>
            <color theme="1"/>
            <rFont val="Calibri"/>
            <family val="2"/>
            <scheme val="minor"/>
          </rPr>
          <t>Introduzca un número con dos decimales como máximo</t>
        </r>
      </text>
    </comment>
    <comment ref="F841" authorId="1">
      <text>
        <r>
          <rPr>
            <sz val="11"/>
            <color theme="1"/>
            <rFont val="Calibri"/>
            <family val="2"/>
            <scheme val="minor"/>
          </rPr>
          <t>Monto calculado automáticamente por el sistema</t>
        </r>
      </text>
    </comment>
    <comment ref="A846" authorId="1">
      <text>
        <r>
          <rPr>
            <sz val="11"/>
            <color theme="1"/>
            <rFont val="Calibri"/>
            <family val="2"/>
            <scheme val="minor"/>
          </rPr>
          <t>Introducir un texto con el nombre o referencia de la contratación</t>
        </r>
      </text>
    </comment>
    <comment ref="B846" authorId="1">
      <text>
        <r>
          <rPr>
            <sz val="11"/>
            <color theme="1"/>
            <rFont val="Calibri"/>
            <family val="2"/>
            <scheme val="minor"/>
          </rPr>
          <t>Introduzca un texto con la finalidad de la contratación</t>
        </r>
      </text>
    </comment>
    <comment ref="C846" authorId="1">
      <text>
        <r>
          <rPr>
            <sz val="11"/>
            <color theme="1"/>
            <rFont val="Calibri"/>
            <family val="2"/>
            <scheme val="minor"/>
          </rPr>
          <t>Seleccionar un valor del listado</t>
        </r>
      </text>
    </comment>
    <comment ref="D846" authorId="1">
      <text>
        <r>
          <rPr>
            <sz val="11"/>
            <color theme="1"/>
            <rFont val="Calibri"/>
            <family val="2"/>
            <scheme val="minor"/>
          </rPr>
          <t>Seleccione el tipo de procedimiento</t>
        </r>
      </text>
    </comment>
    <comment ref="E846" authorId="1">
      <text>
        <r>
          <rPr>
            <sz val="11"/>
            <color theme="1"/>
            <rFont val="Calibri"/>
            <family val="2"/>
            <scheme val="minor"/>
          </rPr>
          <t>Seleccione un valor de la lista</t>
        </r>
      </text>
    </comment>
    <comment ref="F846" authorId="1">
      <text>
        <r>
          <rPr>
            <sz val="11"/>
            <color theme="1"/>
            <rFont val="Calibri"/>
            <family val="2"/>
            <scheme val="minor"/>
          </rPr>
          <t>Introduzca el código SNIP</t>
        </r>
      </text>
    </comment>
    <comment ref="C847" authorId="1">
      <text>
        <r>
          <rPr>
            <sz val="11"/>
            <color theme="1"/>
            <rFont val="Calibri"/>
            <family val="2"/>
            <scheme val="minor"/>
          </rPr>
          <t>Introduzca la fecha de inicio del proceso, en formato dd-mm-aaaa</t>
        </r>
      </text>
    </comment>
    <comment ref="F84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8" authorId="1">
      <text/>
    </comment>
    <comment ref="C849" authorId="1">
      <text>
        <r>
          <rPr>
            <sz val="11"/>
            <color theme="1"/>
            <rFont val="Calibri"/>
            <family val="2"/>
            <scheme val="minor"/>
          </rPr>
          <t>Introduzca la fecha prevista de adjudicación, en formato dd-mm-aaaa</t>
        </r>
      </text>
    </comment>
    <comment ref="F849" authorId="1">
      <text/>
    </comment>
    <comment ref="F850" authorId="1">
      <text/>
    </comment>
    <comment ref="A852" authorId="1">
      <text>
        <r>
          <rPr>
            <sz val="11"/>
            <color theme="1"/>
            <rFont val="Calibri"/>
            <family val="2"/>
            <scheme val="minor"/>
          </rPr>
          <t>Introduzca un codigo UNSPSC</t>
        </r>
      </text>
    </comment>
    <comment ref="B852" authorId="1">
      <text>
        <r>
          <rPr>
            <sz val="11"/>
            <color theme="1"/>
            <rFont val="Calibri"/>
            <family val="2"/>
            <scheme val="minor"/>
          </rPr>
          <t>Descripción calculada automáticamente a partir de código del artículo</t>
        </r>
      </text>
    </comment>
    <comment ref="C852" authorId="1">
      <text>
        <r>
          <rPr>
            <sz val="11"/>
            <color theme="1"/>
            <rFont val="Calibri"/>
            <family val="2"/>
            <scheme val="minor"/>
          </rPr>
          <t>Seleccione un valor de la lista</t>
        </r>
      </text>
    </comment>
    <comment ref="D852" authorId="1">
      <text>
        <r>
          <rPr>
            <sz val="11"/>
            <color theme="1"/>
            <rFont val="Calibri"/>
            <family val="2"/>
            <scheme val="minor"/>
          </rPr>
          <t>Introduzca un número con dos decimales como máximo. Debe ser igual o mayor a la "Cantidad Real Consumida"</t>
        </r>
      </text>
    </comment>
    <comment ref="E852" authorId="1">
      <text>
        <r>
          <rPr>
            <sz val="11"/>
            <color theme="1"/>
            <rFont val="Calibri"/>
            <family val="2"/>
            <scheme val="minor"/>
          </rPr>
          <t>Introduzca un número con dos decimales como máximo</t>
        </r>
      </text>
    </comment>
    <comment ref="F852" authorId="1">
      <text>
        <r>
          <rPr>
            <sz val="11"/>
            <color theme="1"/>
            <rFont val="Calibri"/>
            <family val="2"/>
            <scheme val="minor"/>
          </rPr>
          <t>Monto calculado automáticamente por el sistema</t>
        </r>
      </text>
    </comment>
    <comment ref="A857" authorId="1">
      <text>
        <r>
          <rPr>
            <sz val="11"/>
            <color theme="1"/>
            <rFont val="Calibri"/>
            <family val="2"/>
            <scheme val="minor"/>
          </rPr>
          <t>Introducir un texto con el nombre o referencia de la contratación</t>
        </r>
      </text>
    </comment>
    <comment ref="B857" authorId="1">
      <text>
        <r>
          <rPr>
            <sz val="11"/>
            <color theme="1"/>
            <rFont val="Calibri"/>
            <family val="2"/>
            <scheme val="minor"/>
          </rPr>
          <t>Introduzca un texto con la finalidad de la contratación</t>
        </r>
      </text>
    </comment>
    <comment ref="C857" authorId="1">
      <text>
        <r>
          <rPr>
            <sz val="11"/>
            <color theme="1"/>
            <rFont val="Calibri"/>
            <family val="2"/>
            <scheme val="minor"/>
          </rPr>
          <t>Seleccionar un valor del listado</t>
        </r>
      </text>
    </comment>
    <comment ref="D857" authorId="1">
      <text>
        <r>
          <rPr>
            <sz val="11"/>
            <color theme="1"/>
            <rFont val="Calibri"/>
            <family val="2"/>
            <scheme val="minor"/>
          </rPr>
          <t>Seleccione el tipo de procedimiento</t>
        </r>
      </text>
    </comment>
    <comment ref="E857" authorId="1">
      <text>
        <r>
          <rPr>
            <sz val="11"/>
            <color theme="1"/>
            <rFont val="Calibri"/>
            <family val="2"/>
            <scheme val="minor"/>
          </rPr>
          <t>Seleccione un valor de la lista</t>
        </r>
      </text>
    </comment>
    <comment ref="F857" authorId="1">
      <text>
        <r>
          <rPr>
            <sz val="11"/>
            <color theme="1"/>
            <rFont val="Calibri"/>
            <family val="2"/>
            <scheme val="minor"/>
          </rPr>
          <t>Introduzca el código SNIP</t>
        </r>
      </text>
    </comment>
    <comment ref="C858" authorId="1">
      <text>
        <r>
          <rPr>
            <sz val="11"/>
            <color theme="1"/>
            <rFont val="Calibri"/>
            <family val="2"/>
            <scheme val="minor"/>
          </rPr>
          <t>Introduzca la fecha de inicio del proceso, en formato dd-mm-aaaa</t>
        </r>
      </text>
    </comment>
    <comment ref="F85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9" authorId="1">
      <text/>
    </comment>
    <comment ref="C860" authorId="1">
      <text>
        <r>
          <rPr>
            <sz val="11"/>
            <color theme="1"/>
            <rFont val="Calibri"/>
            <family val="2"/>
            <scheme val="minor"/>
          </rPr>
          <t>Introduzca la fecha prevista de adjudicación, en formato dd-mm-aaaa</t>
        </r>
      </text>
    </comment>
    <comment ref="F860" authorId="1">
      <text/>
    </comment>
    <comment ref="F861" authorId="1">
      <text/>
    </comment>
    <comment ref="A863" authorId="1">
      <text>
        <r>
          <rPr>
            <sz val="11"/>
            <color theme="1"/>
            <rFont val="Calibri"/>
            <family val="2"/>
            <scheme val="minor"/>
          </rPr>
          <t>Introduzca un codigo UNSPSC</t>
        </r>
      </text>
    </comment>
    <comment ref="B863" authorId="1">
      <text>
        <r>
          <rPr>
            <sz val="11"/>
            <color theme="1"/>
            <rFont val="Calibri"/>
            <family val="2"/>
            <scheme val="minor"/>
          </rPr>
          <t>Descripción calculada automáticamente a partir de código del artículo</t>
        </r>
      </text>
    </comment>
    <comment ref="C863" authorId="1">
      <text>
        <r>
          <rPr>
            <sz val="11"/>
            <color theme="1"/>
            <rFont val="Calibri"/>
            <family val="2"/>
            <scheme val="minor"/>
          </rPr>
          <t>Seleccione un valor de la lista</t>
        </r>
      </text>
    </comment>
    <comment ref="D863" authorId="1">
      <text>
        <r>
          <rPr>
            <sz val="11"/>
            <color theme="1"/>
            <rFont val="Calibri"/>
            <family val="2"/>
            <scheme val="minor"/>
          </rPr>
          <t>Introduzca un número con dos decimales como máximo. Debe ser igual o mayor a la "Cantidad Real Consumida"</t>
        </r>
      </text>
    </comment>
    <comment ref="E863" authorId="1">
      <text>
        <r>
          <rPr>
            <sz val="11"/>
            <color theme="1"/>
            <rFont val="Calibri"/>
            <family val="2"/>
            <scheme val="minor"/>
          </rPr>
          <t>Introduzca un número con dos decimales como máximo</t>
        </r>
      </text>
    </comment>
    <comment ref="F863" authorId="1">
      <text>
        <r>
          <rPr>
            <sz val="11"/>
            <color theme="1"/>
            <rFont val="Calibri"/>
            <family val="2"/>
            <scheme val="minor"/>
          </rPr>
          <t>Monto calculado automáticamente por el sistema</t>
        </r>
      </text>
    </comment>
    <comment ref="A868" authorId="1">
      <text>
        <r>
          <rPr>
            <sz val="11"/>
            <color theme="1"/>
            <rFont val="Calibri"/>
            <family val="2"/>
            <scheme val="minor"/>
          </rPr>
          <t>Introducir un texto con el nombre o referencia de la contratación</t>
        </r>
      </text>
    </comment>
    <comment ref="B868" authorId="1">
      <text>
        <r>
          <rPr>
            <sz val="11"/>
            <color theme="1"/>
            <rFont val="Calibri"/>
            <family val="2"/>
            <scheme val="minor"/>
          </rPr>
          <t>Introduzca un texto con la finalidad de la contratación</t>
        </r>
      </text>
    </comment>
    <comment ref="C868" authorId="1">
      <text>
        <r>
          <rPr>
            <sz val="11"/>
            <color theme="1"/>
            <rFont val="Calibri"/>
            <family val="2"/>
            <scheme val="minor"/>
          </rPr>
          <t>Seleccionar un valor del listado</t>
        </r>
      </text>
    </comment>
    <comment ref="D868" authorId="1">
      <text>
        <r>
          <rPr>
            <sz val="11"/>
            <color theme="1"/>
            <rFont val="Calibri"/>
            <family val="2"/>
            <scheme val="minor"/>
          </rPr>
          <t>Seleccione el tipo de procedimiento</t>
        </r>
      </text>
    </comment>
    <comment ref="E868" authorId="1">
      <text>
        <r>
          <rPr>
            <sz val="11"/>
            <color theme="1"/>
            <rFont val="Calibri"/>
            <family val="2"/>
            <scheme val="minor"/>
          </rPr>
          <t>Seleccione un valor de la lista</t>
        </r>
      </text>
    </comment>
    <comment ref="F868" authorId="1">
      <text>
        <r>
          <rPr>
            <sz val="11"/>
            <color theme="1"/>
            <rFont val="Calibri"/>
            <family val="2"/>
            <scheme val="minor"/>
          </rPr>
          <t>Introduzca el código SNIP</t>
        </r>
      </text>
    </comment>
    <comment ref="C869" authorId="1">
      <text>
        <r>
          <rPr>
            <sz val="11"/>
            <color theme="1"/>
            <rFont val="Calibri"/>
            <family val="2"/>
            <scheme val="minor"/>
          </rPr>
          <t>Introduzca la fecha de inicio del proceso, en formato dd-mm-aaaa</t>
        </r>
      </text>
    </comment>
    <comment ref="F86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0" authorId="1">
      <text/>
    </comment>
    <comment ref="C871" authorId="1">
      <text>
        <r>
          <rPr>
            <sz val="11"/>
            <color theme="1"/>
            <rFont val="Calibri"/>
            <family val="2"/>
            <scheme val="minor"/>
          </rPr>
          <t>Introduzca la fecha prevista de adjudicación, en formato dd-mm-aaaa</t>
        </r>
      </text>
    </comment>
    <comment ref="F871" authorId="1">
      <text/>
    </comment>
    <comment ref="F872" authorId="1">
      <text/>
    </comment>
    <comment ref="A874" authorId="1">
      <text>
        <r>
          <rPr>
            <sz val="11"/>
            <color theme="1"/>
            <rFont val="Calibri"/>
            <family val="2"/>
            <scheme val="minor"/>
          </rPr>
          <t>Introduzca un codigo UNSPSC</t>
        </r>
      </text>
    </comment>
    <comment ref="B874" authorId="1">
      <text>
        <r>
          <rPr>
            <sz val="11"/>
            <color theme="1"/>
            <rFont val="Calibri"/>
            <family val="2"/>
            <scheme val="minor"/>
          </rPr>
          <t>Descripción calculada automáticamente a partir de código del artículo</t>
        </r>
      </text>
    </comment>
    <comment ref="C874" authorId="1">
      <text>
        <r>
          <rPr>
            <sz val="11"/>
            <color theme="1"/>
            <rFont val="Calibri"/>
            <family val="2"/>
            <scheme val="minor"/>
          </rPr>
          <t>Seleccione un valor de la lista</t>
        </r>
      </text>
    </comment>
    <comment ref="D874" authorId="1">
      <text>
        <r>
          <rPr>
            <sz val="11"/>
            <color theme="1"/>
            <rFont val="Calibri"/>
            <family val="2"/>
            <scheme val="minor"/>
          </rPr>
          <t>Introduzca un número con dos decimales como máximo. Debe ser igual o mayor a la "Cantidad Real Consumida"</t>
        </r>
      </text>
    </comment>
    <comment ref="E874" authorId="1">
      <text>
        <r>
          <rPr>
            <sz val="11"/>
            <color theme="1"/>
            <rFont val="Calibri"/>
            <family val="2"/>
            <scheme val="minor"/>
          </rPr>
          <t>Introduzca un número con dos decimales como máximo</t>
        </r>
      </text>
    </comment>
    <comment ref="F874" authorId="1">
      <text>
        <r>
          <rPr>
            <sz val="11"/>
            <color theme="1"/>
            <rFont val="Calibri"/>
            <family val="2"/>
            <scheme val="minor"/>
          </rPr>
          <t>Monto calculado automáticamente por el sistema</t>
        </r>
      </text>
    </comment>
    <comment ref="A879" authorId="1">
      <text>
        <r>
          <rPr>
            <sz val="11"/>
            <color theme="1"/>
            <rFont val="Calibri"/>
            <family val="2"/>
            <scheme val="minor"/>
          </rPr>
          <t>Introducir un texto con el nombre o referencia de la contratación</t>
        </r>
      </text>
    </comment>
    <comment ref="B879" authorId="1">
      <text>
        <r>
          <rPr>
            <sz val="11"/>
            <color theme="1"/>
            <rFont val="Calibri"/>
            <family val="2"/>
            <scheme val="minor"/>
          </rPr>
          <t>Introduzca un texto con la finalidad de la contratación</t>
        </r>
      </text>
    </comment>
    <comment ref="C879" authorId="1">
      <text>
        <r>
          <rPr>
            <sz val="11"/>
            <color theme="1"/>
            <rFont val="Calibri"/>
            <family val="2"/>
            <scheme val="minor"/>
          </rPr>
          <t>Seleccionar un valor del listado</t>
        </r>
      </text>
    </comment>
    <comment ref="D879" authorId="1">
      <text>
        <r>
          <rPr>
            <sz val="11"/>
            <color theme="1"/>
            <rFont val="Calibri"/>
            <family val="2"/>
            <scheme val="minor"/>
          </rPr>
          <t>Seleccione el tipo de procedimiento</t>
        </r>
      </text>
    </comment>
    <comment ref="E879" authorId="1">
      <text>
        <r>
          <rPr>
            <sz val="11"/>
            <color theme="1"/>
            <rFont val="Calibri"/>
            <family val="2"/>
            <scheme val="minor"/>
          </rPr>
          <t>Seleccione un valor de la lista</t>
        </r>
      </text>
    </comment>
    <comment ref="F879" authorId="1">
      <text>
        <r>
          <rPr>
            <sz val="11"/>
            <color theme="1"/>
            <rFont val="Calibri"/>
            <family val="2"/>
            <scheme val="minor"/>
          </rPr>
          <t>Introduzca el código SNIP</t>
        </r>
      </text>
    </comment>
    <comment ref="C880" authorId="1">
      <text>
        <r>
          <rPr>
            <sz val="11"/>
            <color theme="1"/>
            <rFont val="Calibri"/>
            <family val="2"/>
            <scheme val="minor"/>
          </rPr>
          <t>Introduzca la fecha de inicio del proceso, en formato dd-mm-aaaa</t>
        </r>
      </text>
    </comment>
    <comment ref="F88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1" authorId="1">
      <text/>
    </comment>
    <comment ref="C882" authorId="1">
      <text>
        <r>
          <rPr>
            <sz val="11"/>
            <color theme="1"/>
            <rFont val="Calibri"/>
            <family val="2"/>
            <scheme val="minor"/>
          </rPr>
          <t>Introduzca la fecha prevista de adjudicación, en formato dd-mm-aaaa</t>
        </r>
      </text>
    </comment>
    <comment ref="F882" authorId="1">
      <text/>
    </comment>
    <comment ref="F883" authorId="1">
      <text/>
    </comment>
    <comment ref="A885" authorId="1">
      <text>
        <r>
          <rPr>
            <sz val="11"/>
            <color theme="1"/>
            <rFont val="Calibri"/>
            <family val="2"/>
            <scheme val="minor"/>
          </rPr>
          <t>Introduzca un codigo UNSPSC</t>
        </r>
      </text>
    </comment>
    <comment ref="B885" authorId="1">
      <text>
        <r>
          <rPr>
            <sz val="11"/>
            <color theme="1"/>
            <rFont val="Calibri"/>
            <family val="2"/>
            <scheme val="minor"/>
          </rPr>
          <t>Descripción calculada automáticamente a partir de código del artículo</t>
        </r>
      </text>
    </comment>
    <comment ref="C885" authorId="1">
      <text>
        <r>
          <rPr>
            <sz val="11"/>
            <color theme="1"/>
            <rFont val="Calibri"/>
            <family val="2"/>
            <scheme val="minor"/>
          </rPr>
          <t>Seleccione un valor de la lista</t>
        </r>
      </text>
    </comment>
    <comment ref="D885" authorId="1">
      <text>
        <r>
          <rPr>
            <sz val="11"/>
            <color theme="1"/>
            <rFont val="Calibri"/>
            <family val="2"/>
            <scheme val="minor"/>
          </rPr>
          <t>Introduzca un número con dos decimales como máximo. Debe ser igual o mayor a la "Cantidad Real Consumida"</t>
        </r>
      </text>
    </comment>
    <comment ref="E885" authorId="1">
      <text>
        <r>
          <rPr>
            <sz val="11"/>
            <color theme="1"/>
            <rFont val="Calibri"/>
            <family val="2"/>
            <scheme val="minor"/>
          </rPr>
          <t>Introduzca un número con dos decimales como máximo</t>
        </r>
      </text>
    </comment>
    <comment ref="F885" authorId="1">
      <text>
        <r>
          <rPr>
            <sz val="11"/>
            <color theme="1"/>
            <rFont val="Calibri"/>
            <family val="2"/>
            <scheme val="minor"/>
          </rPr>
          <t>Monto calculado automáticamente por el sistema</t>
        </r>
      </text>
    </comment>
    <comment ref="A890" authorId="1">
      <text>
        <r>
          <rPr>
            <sz val="11"/>
            <color theme="1"/>
            <rFont val="Calibri"/>
            <family val="2"/>
            <scheme val="minor"/>
          </rPr>
          <t>Introducir un texto con el nombre o referencia de la contratación</t>
        </r>
      </text>
    </comment>
    <comment ref="B890" authorId="1">
      <text>
        <r>
          <rPr>
            <sz val="11"/>
            <color theme="1"/>
            <rFont val="Calibri"/>
            <family val="2"/>
            <scheme val="minor"/>
          </rPr>
          <t>Introduzca un texto con la finalidad de la contratación</t>
        </r>
      </text>
    </comment>
    <comment ref="C890" authorId="1">
      <text>
        <r>
          <rPr>
            <sz val="11"/>
            <color theme="1"/>
            <rFont val="Calibri"/>
            <family val="2"/>
            <scheme val="minor"/>
          </rPr>
          <t>Seleccionar un valor del listado</t>
        </r>
      </text>
    </comment>
    <comment ref="D890" authorId="1">
      <text>
        <r>
          <rPr>
            <sz val="11"/>
            <color theme="1"/>
            <rFont val="Calibri"/>
            <family val="2"/>
            <scheme val="minor"/>
          </rPr>
          <t>Seleccione el tipo de procedimiento</t>
        </r>
      </text>
    </comment>
    <comment ref="E890" authorId="1">
      <text>
        <r>
          <rPr>
            <sz val="11"/>
            <color theme="1"/>
            <rFont val="Calibri"/>
            <family val="2"/>
            <scheme val="minor"/>
          </rPr>
          <t>Seleccione un valor de la lista</t>
        </r>
      </text>
    </comment>
    <comment ref="F890" authorId="1">
      <text>
        <r>
          <rPr>
            <sz val="11"/>
            <color theme="1"/>
            <rFont val="Calibri"/>
            <family val="2"/>
            <scheme val="minor"/>
          </rPr>
          <t>Introduzca el código SNIP</t>
        </r>
      </text>
    </comment>
    <comment ref="C891" authorId="1">
      <text>
        <r>
          <rPr>
            <sz val="11"/>
            <color theme="1"/>
            <rFont val="Calibri"/>
            <family val="2"/>
            <scheme val="minor"/>
          </rPr>
          <t>Introduzca la fecha de inicio del proceso, en formato dd-mm-aaaa</t>
        </r>
      </text>
    </comment>
    <comment ref="F89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92" authorId="1">
      <text/>
    </comment>
    <comment ref="C893" authorId="1">
      <text>
        <r>
          <rPr>
            <sz val="11"/>
            <color theme="1"/>
            <rFont val="Calibri"/>
            <family val="2"/>
            <scheme val="minor"/>
          </rPr>
          <t>Introduzca la fecha prevista de adjudicación, en formato dd-mm-aaaa</t>
        </r>
      </text>
    </comment>
    <comment ref="F893" authorId="1">
      <text/>
    </comment>
    <comment ref="F894" authorId="1">
      <text/>
    </comment>
    <comment ref="A896" authorId="1">
      <text>
        <r>
          <rPr>
            <sz val="11"/>
            <color theme="1"/>
            <rFont val="Calibri"/>
            <family val="2"/>
            <scheme val="minor"/>
          </rPr>
          <t>Introduzca un codigo UNSPSC</t>
        </r>
      </text>
    </comment>
    <comment ref="B896" authorId="1">
      <text>
        <r>
          <rPr>
            <sz val="11"/>
            <color theme="1"/>
            <rFont val="Calibri"/>
            <family val="2"/>
            <scheme val="minor"/>
          </rPr>
          <t>Descripción calculada automáticamente a partir de código del artículo</t>
        </r>
      </text>
    </comment>
    <comment ref="C896" authorId="1">
      <text>
        <r>
          <rPr>
            <sz val="11"/>
            <color theme="1"/>
            <rFont val="Calibri"/>
            <family val="2"/>
            <scheme val="minor"/>
          </rPr>
          <t>Seleccione un valor de la lista</t>
        </r>
      </text>
    </comment>
    <comment ref="D896" authorId="1">
      <text>
        <r>
          <rPr>
            <sz val="11"/>
            <color theme="1"/>
            <rFont val="Calibri"/>
            <family val="2"/>
            <scheme val="minor"/>
          </rPr>
          <t>Introduzca un número con dos decimales como máximo. Debe ser igual o mayor a la "Cantidad Real Consumida"</t>
        </r>
      </text>
    </comment>
    <comment ref="E896" authorId="1">
      <text>
        <r>
          <rPr>
            <sz val="11"/>
            <color theme="1"/>
            <rFont val="Calibri"/>
            <family val="2"/>
            <scheme val="minor"/>
          </rPr>
          <t>Introduzca un número con dos decimales como máximo</t>
        </r>
      </text>
    </comment>
    <comment ref="F896" authorId="1">
      <text>
        <r>
          <rPr>
            <sz val="11"/>
            <color theme="1"/>
            <rFont val="Calibri"/>
            <family val="2"/>
            <scheme val="minor"/>
          </rPr>
          <t>Monto calculado automáticamente por el sistema</t>
        </r>
      </text>
    </comment>
    <comment ref="A901" authorId="1">
      <text>
        <r>
          <rPr>
            <sz val="11"/>
            <color theme="1"/>
            <rFont val="Calibri"/>
            <family val="2"/>
            <scheme val="minor"/>
          </rPr>
          <t>Introducir un texto con el nombre o referencia de la contratación</t>
        </r>
      </text>
    </comment>
    <comment ref="B901" authorId="1">
      <text>
        <r>
          <rPr>
            <sz val="11"/>
            <color theme="1"/>
            <rFont val="Calibri"/>
            <family val="2"/>
            <scheme val="minor"/>
          </rPr>
          <t>Introduzca un texto con la finalidad de la contratación</t>
        </r>
      </text>
    </comment>
    <comment ref="C901" authorId="1">
      <text>
        <r>
          <rPr>
            <sz val="11"/>
            <color theme="1"/>
            <rFont val="Calibri"/>
            <family val="2"/>
            <scheme val="minor"/>
          </rPr>
          <t>Seleccionar un valor del listado</t>
        </r>
      </text>
    </comment>
    <comment ref="D901" authorId="1">
      <text>
        <r>
          <rPr>
            <sz val="11"/>
            <color theme="1"/>
            <rFont val="Calibri"/>
            <family val="2"/>
            <scheme val="minor"/>
          </rPr>
          <t>Seleccione el tipo de procedimiento</t>
        </r>
      </text>
    </comment>
    <comment ref="E901" authorId="1">
      <text>
        <r>
          <rPr>
            <sz val="11"/>
            <color theme="1"/>
            <rFont val="Calibri"/>
            <family val="2"/>
            <scheme val="minor"/>
          </rPr>
          <t>Seleccione un valor de la lista</t>
        </r>
      </text>
    </comment>
    <comment ref="F901" authorId="1">
      <text>
        <r>
          <rPr>
            <sz val="11"/>
            <color theme="1"/>
            <rFont val="Calibri"/>
            <family val="2"/>
            <scheme val="minor"/>
          </rPr>
          <t>Introduzca el código SNIP</t>
        </r>
      </text>
    </comment>
    <comment ref="C902" authorId="1">
      <text>
        <r>
          <rPr>
            <sz val="11"/>
            <color theme="1"/>
            <rFont val="Calibri"/>
            <family val="2"/>
            <scheme val="minor"/>
          </rPr>
          <t>Introduzca la fecha de inicio del proceso, en formato dd-mm-aaaa</t>
        </r>
      </text>
    </comment>
    <comment ref="F90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3" authorId="1">
      <text/>
    </comment>
    <comment ref="C904" authorId="1">
      <text>
        <r>
          <rPr>
            <sz val="11"/>
            <color theme="1"/>
            <rFont val="Calibri"/>
            <family val="2"/>
            <scheme val="minor"/>
          </rPr>
          <t>Introduzca la fecha prevista de adjudicación, en formato dd-mm-aaaa</t>
        </r>
      </text>
    </comment>
    <comment ref="F904" authorId="1">
      <text/>
    </comment>
    <comment ref="F905" authorId="1">
      <text/>
    </comment>
    <comment ref="A907" authorId="1">
      <text>
        <r>
          <rPr>
            <sz val="11"/>
            <color theme="1"/>
            <rFont val="Calibri"/>
            <family val="2"/>
            <scheme val="minor"/>
          </rPr>
          <t>Introduzca un codigo UNSPSC</t>
        </r>
      </text>
    </comment>
    <comment ref="B907" authorId="1">
      <text>
        <r>
          <rPr>
            <sz val="11"/>
            <color theme="1"/>
            <rFont val="Calibri"/>
            <family val="2"/>
            <scheme val="minor"/>
          </rPr>
          <t>Descripción calculada automáticamente a partir de código del artículo</t>
        </r>
      </text>
    </comment>
    <comment ref="C907" authorId="1">
      <text>
        <r>
          <rPr>
            <sz val="11"/>
            <color theme="1"/>
            <rFont val="Calibri"/>
            <family val="2"/>
            <scheme val="minor"/>
          </rPr>
          <t>Seleccione un valor de la lista</t>
        </r>
      </text>
    </comment>
    <comment ref="D907" authorId="1">
      <text>
        <r>
          <rPr>
            <sz val="11"/>
            <color theme="1"/>
            <rFont val="Calibri"/>
            <family val="2"/>
            <scheme val="minor"/>
          </rPr>
          <t>Introduzca un número con dos decimales como máximo. Debe ser igual o mayor a la "Cantidad Real Consumida"</t>
        </r>
      </text>
    </comment>
    <comment ref="E907" authorId="1">
      <text>
        <r>
          <rPr>
            <sz val="11"/>
            <color theme="1"/>
            <rFont val="Calibri"/>
            <family val="2"/>
            <scheme val="minor"/>
          </rPr>
          <t>Introduzca un número con dos decimales como máximo</t>
        </r>
      </text>
    </comment>
    <comment ref="F907" authorId="1">
      <text>
        <r>
          <rPr>
            <sz val="11"/>
            <color theme="1"/>
            <rFont val="Calibri"/>
            <family val="2"/>
            <scheme val="minor"/>
          </rPr>
          <t>Monto calculado automáticamente por el sistema</t>
        </r>
      </text>
    </comment>
    <comment ref="A912" authorId="1">
      <text>
        <r>
          <rPr>
            <sz val="11"/>
            <color theme="1"/>
            <rFont val="Calibri"/>
            <family val="2"/>
            <scheme val="minor"/>
          </rPr>
          <t>Introducir un texto con el nombre o referencia de la contratación</t>
        </r>
      </text>
    </comment>
    <comment ref="B912" authorId="1">
      <text>
        <r>
          <rPr>
            <sz val="11"/>
            <color theme="1"/>
            <rFont val="Calibri"/>
            <family val="2"/>
            <scheme val="minor"/>
          </rPr>
          <t>Introduzca un texto con la finalidad de la contratación</t>
        </r>
      </text>
    </comment>
    <comment ref="C912" authorId="1">
      <text>
        <r>
          <rPr>
            <sz val="11"/>
            <color theme="1"/>
            <rFont val="Calibri"/>
            <family val="2"/>
            <scheme val="minor"/>
          </rPr>
          <t>Seleccionar un valor del listado</t>
        </r>
      </text>
    </comment>
    <comment ref="D912" authorId="1">
      <text>
        <r>
          <rPr>
            <sz val="11"/>
            <color theme="1"/>
            <rFont val="Calibri"/>
            <family val="2"/>
            <scheme val="minor"/>
          </rPr>
          <t>Seleccione el tipo de procedimiento</t>
        </r>
      </text>
    </comment>
    <comment ref="E912" authorId="1">
      <text>
        <r>
          <rPr>
            <sz val="11"/>
            <color theme="1"/>
            <rFont val="Calibri"/>
            <family val="2"/>
            <scheme val="minor"/>
          </rPr>
          <t>Seleccione un valor de la lista</t>
        </r>
      </text>
    </comment>
    <comment ref="F912" authorId="1">
      <text>
        <r>
          <rPr>
            <sz val="11"/>
            <color theme="1"/>
            <rFont val="Calibri"/>
            <family val="2"/>
            <scheme val="minor"/>
          </rPr>
          <t>Introduzca el código SNIP</t>
        </r>
      </text>
    </comment>
    <comment ref="C913" authorId="1">
      <text>
        <r>
          <rPr>
            <sz val="11"/>
            <color theme="1"/>
            <rFont val="Calibri"/>
            <family val="2"/>
            <scheme val="minor"/>
          </rPr>
          <t>Introduzca la fecha de inicio del proceso, en formato dd-mm-aaaa</t>
        </r>
      </text>
    </comment>
    <comment ref="F91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4" authorId="1">
      <text/>
    </comment>
    <comment ref="C915" authorId="1">
      <text>
        <r>
          <rPr>
            <sz val="11"/>
            <color theme="1"/>
            <rFont val="Calibri"/>
            <family val="2"/>
            <scheme val="minor"/>
          </rPr>
          <t>Introduzca la fecha prevista de adjudicación, en formato dd-mm-aaaa</t>
        </r>
      </text>
    </comment>
    <comment ref="F915" authorId="1">
      <text/>
    </comment>
    <comment ref="F916" authorId="1">
      <text/>
    </comment>
    <comment ref="A918" authorId="1">
      <text>
        <r>
          <rPr>
            <sz val="11"/>
            <color theme="1"/>
            <rFont val="Calibri"/>
            <family val="2"/>
            <scheme val="minor"/>
          </rPr>
          <t>Introduzca un codigo UNSPSC</t>
        </r>
      </text>
    </comment>
    <comment ref="B918" authorId="1">
      <text>
        <r>
          <rPr>
            <sz val="11"/>
            <color theme="1"/>
            <rFont val="Calibri"/>
            <family val="2"/>
            <scheme val="minor"/>
          </rPr>
          <t>Descripción calculada automáticamente a partir de código del artículo</t>
        </r>
      </text>
    </comment>
    <comment ref="C918" authorId="1">
      <text>
        <r>
          <rPr>
            <sz val="11"/>
            <color theme="1"/>
            <rFont val="Calibri"/>
            <family val="2"/>
            <scheme val="minor"/>
          </rPr>
          <t>Seleccione un valor de la lista</t>
        </r>
      </text>
    </comment>
    <comment ref="D918" authorId="1">
      <text>
        <r>
          <rPr>
            <sz val="11"/>
            <color theme="1"/>
            <rFont val="Calibri"/>
            <family val="2"/>
            <scheme val="minor"/>
          </rPr>
          <t>Introduzca un número con dos decimales como máximo. Debe ser igual o mayor a la "Cantidad Real Consumida"</t>
        </r>
      </text>
    </comment>
    <comment ref="E918" authorId="1">
      <text>
        <r>
          <rPr>
            <sz val="11"/>
            <color theme="1"/>
            <rFont val="Calibri"/>
            <family val="2"/>
            <scheme val="minor"/>
          </rPr>
          <t>Introduzca un número con dos decimales como máximo</t>
        </r>
      </text>
    </comment>
    <comment ref="F918" authorId="1">
      <text>
        <r>
          <rPr>
            <sz val="11"/>
            <color theme="1"/>
            <rFont val="Calibri"/>
            <family val="2"/>
            <scheme val="minor"/>
          </rPr>
          <t>Monto calculado automáticamente por el sistema</t>
        </r>
      </text>
    </comment>
    <comment ref="A923" authorId="1">
      <text>
        <r>
          <rPr>
            <sz val="11"/>
            <color theme="1"/>
            <rFont val="Calibri"/>
            <family val="2"/>
            <scheme val="minor"/>
          </rPr>
          <t>Introducir un texto con el nombre o referencia de la contratación</t>
        </r>
      </text>
    </comment>
    <comment ref="B923" authorId="1">
      <text>
        <r>
          <rPr>
            <sz val="11"/>
            <color theme="1"/>
            <rFont val="Calibri"/>
            <family val="2"/>
            <scheme val="minor"/>
          </rPr>
          <t>Introduzca un texto con la finalidad de la contratación</t>
        </r>
      </text>
    </comment>
    <comment ref="C923" authorId="1">
      <text>
        <r>
          <rPr>
            <sz val="11"/>
            <color theme="1"/>
            <rFont val="Calibri"/>
            <family val="2"/>
            <scheme val="minor"/>
          </rPr>
          <t>Seleccionar un valor del listado</t>
        </r>
      </text>
    </comment>
    <comment ref="D923" authorId="1">
      <text>
        <r>
          <rPr>
            <sz val="11"/>
            <color theme="1"/>
            <rFont val="Calibri"/>
            <family val="2"/>
            <scheme val="minor"/>
          </rPr>
          <t>Seleccione el tipo de procedimiento</t>
        </r>
      </text>
    </comment>
    <comment ref="E923" authorId="1">
      <text>
        <r>
          <rPr>
            <sz val="11"/>
            <color theme="1"/>
            <rFont val="Calibri"/>
            <family val="2"/>
            <scheme val="minor"/>
          </rPr>
          <t>Seleccione un valor de la lista</t>
        </r>
      </text>
    </comment>
    <comment ref="F923" authorId="1">
      <text>
        <r>
          <rPr>
            <sz val="11"/>
            <color theme="1"/>
            <rFont val="Calibri"/>
            <family val="2"/>
            <scheme val="minor"/>
          </rPr>
          <t>Introduzca el código SNIP</t>
        </r>
      </text>
    </comment>
    <comment ref="C924" authorId="1">
      <text>
        <r>
          <rPr>
            <sz val="11"/>
            <color theme="1"/>
            <rFont val="Calibri"/>
            <family val="2"/>
            <scheme val="minor"/>
          </rPr>
          <t>Introduzca la fecha de inicio del proceso, en formato dd-mm-aaaa</t>
        </r>
      </text>
    </comment>
    <comment ref="F92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25" authorId="1">
      <text/>
    </comment>
    <comment ref="C926" authorId="1">
      <text>
        <r>
          <rPr>
            <sz val="11"/>
            <color theme="1"/>
            <rFont val="Calibri"/>
            <family val="2"/>
            <scheme val="minor"/>
          </rPr>
          <t>Introduzca la fecha prevista de adjudicación, en formato dd-mm-aaaa</t>
        </r>
      </text>
    </comment>
    <comment ref="F926" authorId="1">
      <text/>
    </comment>
    <comment ref="F927" authorId="1">
      <text/>
    </comment>
    <comment ref="A929" authorId="1">
      <text>
        <r>
          <rPr>
            <sz val="11"/>
            <color theme="1"/>
            <rFont val="Calibri"/>
            <family val="2"/>
            <scheme val="minor"/>
          </rPr>
          <t>Introduzca un codigo UNSPSC</t>
        </r>
      </text>
    </comment>
    <comment ref="B929" authorId="1">
      <text>
        <r>
          <rPr>
            <sz val="11"/>
            <color theme="1"/>
            <rFont val="Calibri"/>
            <family val="2"/>
            <scheme val="minor"/>
          </rPr>
          <t>Descripción calculada automáticamente a partir de código del artículo</t>
        </r>
      </text>
    </comment>
    <comment ref="C929" authorId="1">
      <text>
        <r>
          <rPr>
            <sz val="11"/>
            <color theme="1"/>
            <rFont val="Calibri"/>
            <family val="2"/>
            <scheme val="minor"/>
          </rPr>
          <t>Seleccione un valor de la lista</t>
        </r>
      </text>
    </comment>
    <comment ref="D929" authorId="1">
      <text>
        <r>
          <rPr>
            <sz val="11"/>
            <color theme="1"/>
            <rFont val="Calibri"/>
            <family val="2"/>
            <scheme val="minor"/>
          </rPr>
          <t>Introduzca un número con dos decimales como máximo. Debe ser igual o mayor a la "Cantidad Real Consumida"</t>
        </r>
      </text>
    </comment>
    <comment ref="E929" authorId="1">
      <text>
        <r>
          <rPr>
            <sz val="11"/>
            <color theme="1"/>
            <rFont val="Calibri"/>
            <family val="2"/>
            <scheme val="minor"/>
          </rPr>
          <t>Introduzca un número con dos decimales como máximo</t>
        </r>
      </text>
    </comment>
    <comment ref="F929" authorId="1">
      <text>
        <r>
          <rPr>
            <sz val="11"/>
            <color theme="1"/>
            <rFont val="Calibri"/>
            <family val="2"/>
            <scheme val="minor"/>
          </rPr>
          <t>Monto calculado automáticamente por el sistema</t>
        </r>
      </text>
    </comment>
    <comment ref="A934" authorId="1">
      <text>
        <r>
          <rPr>
            <sz val="11"/>
            <color theme="1"/>
            <rFont val="Calibri"/>
            <family val="2"/>
            <scheme val="minor"/>
          </rPr>
          <t>Introducir un texto con el nombre o referencia de la contratación</t>
        </r>
      </text>
    </comment>
    <comment ref="B934" authorId="1">
      <text>
        <r>
          <rPr>
            <sz val="11"/>
            <color theme="1"/>
            <rFont val="Calibri"/>
            <family val="2"/>
            <scheme val="minor"/>
          </rPr>
          <t>Introduzca un texto con la finalidad de la contratación</t>
        </r>
      </text>
    </comment>
    <comment ref="C934" authorId="1">
      <text>
        <r>
          <rPr>
            <sz val="11"/>
            <color theme="1"/>
            <rFont val="Calibri"/>
            <family val="2"/>
            <scheme val="minor"/>
          </rPr>
          <t>Seleccionar un valor del listado</t>
        </r>
      </text>
    </comment>
    <comment ref="D934" authorId="1">
      <text>
        <r>
          <rPr>
            <sz val="11"/>
            <color theme="1"/>
            <rFont val="Calibri"/>
            <family val="2"/>
            <scheme val="minor"/>
          </rPr>
          <t>Seleccione el tipo de procedimiento</t>
        </r>
      </text>
    </comment>
    <comment ref="E934" authorId="1">
      <text>
        <r>
          <rPr>
            <sz val="11"/>
            <color theme="1"/>
            <rFont val="Calibri"/>
            <family val="2"/>
            <scheme val="minor"/>
          </rPr>
          <t>Seleccione un valor de la lista</t>
        </r>
      </text>
    </comment>
    <comment ref="F934" authorId="1">
      <text>
        <r>
          <rPr>
            <sz val="11"/>
            <color theme="1"/>
            <rFont val="Calibri"/>
            <family val="2"/>
            <scheme val="minor"/>
          </rPr>
          <t>Introduzca el código SNIP</t>
        </r>
      </text>
    </comment>
    <comment ref="C935" authorId="1">
      <text>
        <r>
          <rPr>
            <sz val="11"/>
            <color theme="1"/>
            <rFont val="Calibri"/>
            <family val="2"/>
            <scheme val="minor"/>
          </rPr>
          <t>Introduzca la fecha de inicio del proceso, en formato dd-mm-aaaa</t>
        </r>
      </text>
    </comment>
    <comment ref="F93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36" authorId="1">
      <text/>
    </comment>
    <comment ref="C937" authorId="1">
      <text>
        <r>
          <rPr>
            <sz val="11"/>
            <color theme="1"/>
            <rFont val="Calibri"/>
            <family val="2"/>
            <scheme val="minor"/>
          </rPr>
          <t>Introduzca la fecha prevista de adjudicación, en formato dd-mm-aaaa</t>
        </r>
      </text>
    </comment>
    <comment ref="F937" authorId="1">
      <text/>
    </comment>
    <comment ref="F938" authorId="1">
      <text/>
    </comment>
    <comment ref="A940" authorId="1">
      <text>
        <r>
          <rPr>
            <sz val="11"/>
            <color theme="1"/>
            <rFont val="Calibri"/>
            <family val="2"/>
            <scheme val="minor"/>
          </rPr>
          <t>Introduzca un codigo UNSPSC</t>
        </r>
      </text>
    </comment>
    <comment ref="B940" authorId="1">
      <text>
        <r>
          <rPr>
            <sz val="11"/>
            <color theme="1"/>
            <rFont val="Calibri"/>
            <family val="2"/>
            <scheme val="minor"/>
          </rPr>
          <t>Descripción calculada automáticamente a partir de código del artículo</t>
        </r>
      </text>
    </comment>
    <comment ref="C940" authorId="1">
      <text>
        <r>
          <rPr>
            <sz val="11"/>
            <color theme="1"/>
            <rFont val="Calibri"/>
            <family val="2"/>
            <scheme val="minor"/>
          </rPr>
          <t>Seleccione un valor de la lista</t>
        </r>
      </text>
    </comment>
    <comment ref="D940" authorId="1">
      <text>
        <r>
          <rPr>
            <sz val="11"/>
            <color theme="1"/>
            <rFont val="Calibri"/>
            <family val="2"/>
            <scheme val="minor"/>
          </rPr>
          <t>Introduzca un número con dos decimales como máximo. Debe ser igual o mayor a la "Cantidad Real Consumida"</t>
        </r>
      </text>
    </comment>
    <comment ref="E940" authorId="1">
      <text>
        <r>
          <rPr>
            <sz val="11"/>
            <color theme="1"/>
            <rFont val="Calibri"/>
            <family val="2"/>
            <scheme val="minor"/>
          </rPr>
          <t>Introduzca un número con dos decimales como máximo</t>
        </r>
      </text>
    </comment>
    <comment ref="F940" authorId="1">
      <text>
        <r>
          <rPr>
            <sz val="11"/>
            <color theme="1"/>
            <rFont val="Calibri"/>
            <family val="2"/>
            <scheme val="minor"/>
          </rPr>
          <t>Monto calculado automáticamente por el sistema</t>
        </r>
      </text>
    </comment>
    <comment ref="A945" authorId="1">
      <text>
        <r>
          <rPr>
            <sz val="11"/>
            <color theme="1"/>
            <rFont val="Calibri"/>
            <family val="2"/>
            <scheme val="minor"/>
          </rPr>
          <t>Introducir un texto con el nombre o referencia de la contratación</t>
        </r>
      </text>
    </comment>
    <comment ref="B945" authorId="1">
      <text>
        <r>
          <rPr>
            <sz val="11"/>
            <color theme="1"/>
            <rFont val="Calibri"/>
            <family val="2"/>
            <scheme val="minor"/>
          </rPr>
          <t>Introduzca un texto con la finalidad de la contratación</t>
        </r>
      </text>
    </comment>
    <comment ref="C945" authorId="1">
      <text>
        <r>
          <rPr>
            <sz val="11"/>
            <color theme="1"/>
            <rFont val="Calibri"/>
            <family val="2"/>
            <scheme val="minor"/>
          </rPr>
          <t>Seleccionar un valor del listado</t>
        </r>
      </text>
    </comment>
    <comment ref="D945" authorId="1">
      <text>
        <r>
          <rPr>
            <sz val="11"/>
            <color theme="1"/>
            <rFont val="Calibri"/>
            <family val="2"/>
            <scheme val="minor"/>
          </rPr>
          <t>Seleccione el tipo de procedimiento</t>
        </r>
      </text>
    </comment>
    <comment ref="E945" authorId="1">
      <text>
        <r>
          <rPr>
            <sz val="11"/>
            <color theme="1"/>
            <rFont val="Calibri"/>
            <family val="2"/>
            <scheme val="minor"/>
          </rPr>
          <t>Seleccione un valor de la lista</t>
        </r>
      </text>
    </comment>
    <comment ref="F945" authorId="1">
      <text>
        <r>
          <rPr>
            <sz val="11"/>
            <color theme="1"/>
            <rFont val="Calibri"/>
            <family val="2"/>
            <scheme val="minor"/>
          </rPr>
          <t>Introduzca el código SNIP</t>
        </r>
      </text>
    </comment>
    <comment ref="C946" authorId="1">
      <text>
        <r>
          <rPr>
            <sz val="11"/>
            <color theme="1"/>
            <rFont val="Calibri"/>
            <family val="2"/>
            <scheme val="minor"/>
          </rPr>
          <t>Introduzca la fecha de inicio del proceso, en formato dd-mm-aaaa</t>
        </r>
      </text>
    </comment>
    <comment ref="F94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7" authorId="1">
      <text/>
    </comment>
    <comment ref="C948" authorId="1">
      <text>
        <r>
          <rPr>
            <sz val="11"/>
            <color theme="1"/>
            <rFont val="Calibri"/>
            <family val="2"/>
            <scheme val="minor"/>
          </rPr>
          <t>Introduzca la fecha prevista de adjudicación, en formato dd-mm-aaaa</t>
        </r>
      </text>
    </comment>
    <comment ref="F948" authorId="1">
      <text/>
    </comment>
    <comment ref="F949" authorId="1">
      <text/>
    </comment>
    <comment ref="A951" authorId="1">
      <text>
        <r>
          <rPr>
            <sz val="11"/>
            <color theme="1"/>
            <rFont val="Calibri"/>
            <family val="2"/>
            <scheme val="minor"/>
          </rPr>
          <t>Introduzca un codigo UNSPSC</t>
        </r>
      </text>
    </comment>
    <comment ref="B951" authorId="1">
      <text>
        <r>
          <rPr>
            <sz val="11"/>
            <color theme="1"/>
            <rFont val="Calibri"/>
            <family val="2"/>
            <scheme val="minor"/>
          </rPr>
          <t>Descripción calculada automáticamente a partir de código del artículo</t>
        </r>
      </text>
    </comment>
    <comment ref="C951" authorId="1">
      <text>
        <r>
          <rPr>
            <sz val="11"/>
            <color theme="1"/>
            <rFont val="Calibri"/>
            <family val="2"/>
            <scheme val="minor"/>
          </rPr>
          <t>Seleccione un valor de la lista</t>
        </r>
      </text>
    </comment>
    <comment ref="D951" authorId="1">
      <text>
        <r>
          <rPr>
            <sz val="11"/>
            <color theme="1"/>
            <rFont val="Calibri"/>
            <family val="2"/>
            <scheme val="minor"/>
          </rPr>
          <t>Introduzca un número con dos decimales como máximo. Debe ser igual o mayor a la "Cantidad Real Consumida"</t>
        </r>
      </text>
    </comment>
    <comment ref="E951" authorId="1">
      <text>
        <r>
          <rPr>
            <sz val="11"/>
            <color theme="1"/>
            <rFont val="Calibri"/>
            <family val="2"/>
            <scheme val="minor"/>
          </rPr>
          <t>Introduzca un número con dos decimales como máximo</t>
        </r>
      </text>
    </comment>
    <comment ref="F951" authorId="1">
      <text>
        <r>
          <rPr>
            <sz val="11"/>
            <color theme="1"/>
            <rFont val="Calibri"/>
            <family val="2"/>
            <scheme val="minor"/>
          </rPr>
          <t>Monto calculado automáticamente por el sistema</t>
        </r>
      </text>
    </comment>
    <comment ref="A956" authorId="1">
      <text>
        <r>
          <rPr>
            <sz val="11"/>
            <color theme="1"/>
            <rFont val="Calibri"/>
            <family val="2"/>
            <scheme val="minor"/>
          </rPr>
          <t>Introducir un texto con el nombre o referencia de la contratación</t>
        </r>
      </text>
    </comment>
    <comment ref="B956" authorId="1">
      <text>
        <r>
          <rPr>
            <sz val="11"/>
            <color theme="1"/>
            <rFont val="Calibri"/>
            <family val="2"/>
            <scheme val="minor"/>
          </rPr>
          <t>Introduzca un texto con la finalidad de la contratación</t>
        </r>
      </text>
    </comment>
    <comment ref="C956" authorId="1">
      <text>
        <r>
          <rPr>
            <sz val="11"/>
            <color theme="1"/>
            <rFont val="Calibri"/>
            <family val="2"/>
            <scheme val="minor"/>
          </rPr>
          <t>Seleccionar un valor del listado</t>
        </r>
      </text>
    </comment>
    <comment ref="D956" authorId="1">
      <text>
        <r>
          <rPr>
            <sz val="11"/>
            <color theme="1"/>
            <rFont val="Calibri"/>
            <family val="2"/>
            <scheme val="minor"/>
          </rPr>
          <t>Seleccione el tipo de procedimiento</t>
        </r>
      </text>
    </comment>
    <comment ref="E956" authorId="1">
      <text>
        <r>
          <rPr>
            <sz val="11"/>
            <color theme="1"/>
            <rFont val="Calibri"/>
            <family val="2"/>
            <scheme val="minor"/>
          </rPr>
          <t>Seleccione un valor de la lista</t>
        </r>
      </text>
    </comment>
    <comment ref="F956" authorId="1">
      <text>
        <r>
          <rPr>
            <sz val="11"/>
            <color theme="1"/>
            <rFont val="Calibri"/>
            <family val="2"/>
            <scheme val="minor"/>
          </rPr>
          <t>Introduzca el código SNIP</t>
        </r>
      </text>
    </comment>
    <comment ref="C957" authorId="1">
      <text>
        <r>
          <rPr>
            <sz val="11"/>
            <color theme="1"/>
            <rFont val="Calibri"/>
            <family val="2"/>
            <scheme val="minor"/>
          </rPr>
          <t>Introduzca la fecha de inicio del proceso, en formato dd-mm-aaaa</t>
        </r>
      </text>
    </comment>
    <comment ref="F95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8" authorId="1">
      <text/>
    </comment>
    <comment ref="C959" authorId="1">
      <text>
        <r>
          <rPr>
            <sz val="11"/>
            <color theme="1"/>
            <rFont val="Calibri"/>
            <family val="2"/>
            <scheme val="minor"/>
          </rPr>
          <t>Introduzca la fecha prevista de adjudicación, en formato dd-mm-aaaa</t>
        </r>
      </text>
    </comment>
    <comment ref="F959" authorId="1">
      <text/>
    </comment>
    <comment ref="F960" authorId="1">
      <text/>
    </comment>
    <comment ref="A962" authorId="1">
      <text>
        <r>
          <rPr>
            <sz val="11"/>
            <color theme="1"/>
            <rFont val="Calibri"/>
            <family val="2"/>
            <scheme val="minor"/>
          </rPr>
          <t>Introduzca un codigo UNSPSC</t>
        </r>
      </text>
    </comment>
    <comment ref="B962" authorId="1">
      <text>
        <r>
          <rPr>
            <sz val="11"/>
            <color theme="1"/>
            <rFont val="Calibri"/>
            <family val="2"/>
            <scheme val="minor"/>
          </rPr>
          <t>Descripción calculada automáticamente a partir de código del artículo</t>
        </r>
      </text>
    </comment>
    <comment ref="C962" authorId="1">
      <text>
        <r>
          <rPr>
            <sz val="11"/>
            <color theme="1"/>
            <rFont val="Calibri"/>
            <family val="2"/>
            <scheme val="minor"/>
          </rPr>
          <t>Seleccione un valor de la lista</t>
        </r>
      </text>
    </comment>
    <comment ref="D962" authorId="1">
      <text>
        <r>
          <rPr>
            <sz val="11"/>
            <color theme="1"/>
            <rFont val="Calibri"/>
            <family val="2"/>
            <scheme val="minor"/>
          </rPr>
          <t>Introduzca un número con dos decimales como máximo. Debe ser igual o mayor a la "Cantidad Real Consumida"</t>
        </r>
      </text>
    </comment>
    <comment ref="E962" authorId="1">
      <text>
        <r>
          <rPr>
            <sz val="11"/>
            <color theme="1"/>
            <rFont val="Calibri"/>
            <family val="2"/>
            <scheme val="minor"/>
          </rPr>
          <t>Introduzca un número con dos decimales como máximo</t>
        </r>
      </text>
    </comment>
    <comment ref="F962" authorId="1">
      <text>
        <r>
          <rPr>
            <sz val="11"/>
            <color theme="1"/>
            <rFont val="Calibri"/>
            <family val="2"/>
            <scheme val="minor"/>
          </rPr>
          <t>Monto calculado automáticamente por el sistema</t>
        </r>
      </text>
    </comment>
    <comment ref="A967" authorId="1">
      <text>
        <r>
          <rPr>
            <sz val="11"/>
            <color theme="1"/>
            <rFont val="Calibri"/>
            <family val="2"/>
            <scheme val="minor"/>
          </rPr>
          <t>Introducir un texto con el nombre o referencia de la contratación</t>
        </r>
      </text>
    </comment>
    <comment ref="B967" authorId="1">
      <text>
        <r>
          <rPr>
            <sz val="11"/>
            <color theme="1"/>
            <rFont val="Calibri"/>
            <family val="2"/>
            <scheme val="minor"/>
          </rPr>
          <t>Introduzca un texto con la finalidad de la contratación</t>
        </r>
      </text>
    </comment>
    <comment ref="C967" authorId="1">
      <text>
        <r>
          <rPr>
            <sz val="11"/>
            <color theme="1"/>
            <rFont val="Calibri"/>
            <family val="2"/>
            <scheme val="minor"/>
          </rPr>
          <t>Seleccionar un valor del listado</t>
        </r>
      </text>
    </comment>
    <comment ref="D967" authorId="1">
      <text>
        <r>
          <rPr>
            <sz val="11"/>
            <color theme="1"/>
            <rFont val="Calibri"/>
            <family val="2"/>
            <scheme val="minor"/>
          </rPr>
          <t>Seleccione el tipo de procedimiento</t>
        </r>
      </text>
    </comment>
    <comment ref="E967" authorId="1">
      <text>
        <r>
          <rPr>
            <sz val="11"/>
            <color theme="1"/>
            <rFont val="Calibri"/>
            <family val="2"/>
            <scheme val="minor"/>
          </rPr>
          <t>Seleccione un valor de la lista</t>
        </r>
      </text>
    </comment>
    <comment ref="F967" authorId="1">
      <text>
        <r>
          <rPr>
            <sz val="11"/>
            <color theme="1"/>
            <rFont val="Calibri"/>
            <family val="2"/>
            <scheme val="minor"/>
          </rPr>
          <t>Introduzca el código SNIP</t>
        </r>
      </text>
    </comment>
    <comment ref="C968" authorId="1">
      <text>
        <r>
          <rPr>
            <sz val="11"/>
            <color theme="1"/>
            <rFont val="Calibri"/>
            <family val="2"/>
            <scheme val="minor"/>
          </rPr>
          <t>Introduzca la fecha de inicio del proceso, en formato dd-mm-aaaa</t>
        </r>
      </text>
    </comment>
    <comment ref="F96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69" authorId="1">
      <text/>
    </comment>
    <comment ref="C970" authorId="1">
      <text>
        <r>
          <rPr>
            <sz val="11"/>
            <color theme="1"/>
            <rFont val="Calibri"/>
            <family val="2"/>
            <scheme val="minor"/>
          </rPr>
          <t>Introduzca la fecha prevista de adjudicación, en formato dd-mm-aaaa</t>
        </r>
      </text>
    </comment>
    <comment ref="F970" authorId="1">
      <text/>
    </comment>
    <comment ref="F971" authorId="1">
      <text/>
    </comment>
    <comment ref="A973" authorId="1">
      <text>
        <r>
          <rPr>
            <sz val="11"/>
            <color theme="1"/>
            <rFont val="Calibri"/>
            <family val="2"/>
            <scheme val="minor"/>
          </rPr>
          <t>Introduzca un codigo UNSPSC</t>
        </r>
      </text>
    </comment>
    <comment ref="B973" authorId="1">
      <text>
        <r>
          <rPr>
            <sz val="11"/>
            <color theme="1"/>
            <rFont val="Calibri"/>
            <family val="2"/>
            <scheme val="minor"/>
          </rPr>
          <t>Descripción calculada automáticamente a partir de código del artículo</t>
        </r>
      </text>
    </comment>
    <comment ref="C973" authorId="1">
      <text>
        <r>
          <rPr>
            <sz val="11"/>
            <color theme="1"/>
            <rFont val="Calibri"/>
            <family val="2"/>
            <scheme val="minor"/>
          </rPr>
          <t>Seleccione un valor de la lista</t>
        </r>
      </text>
    </comment>
    <comment ref="D973" authorId="1">
      <text>
        <r>
          <rPr>
            <sz val="11"/>
            <color theme="1"/>
            <rFont val="Calibri"/>
            <family val="2"/>
            <scheme val="minor"/>
          </rPr>
          <t>Introduzca un número con dos decimales como máximo. Debe ser igual o mayor a la "Cantidad Real Consumida"</t>
        </r>
      </text>
    </comment>
    <comment ref="E973" authorId="1">
      <text>
        <r>
          <rPr>
            <sz val="11"/>
            <color theme="1"/>
            <rFont val="Calibri"/>
            <family val="2"/>
            <scheme val="minor"/>
          </rPr>
          <t>Introduzca un número con dos decimales como máximo</t>
        </r>
      </text>
    </comment>
    <comment ref="F973" authorId="1">
      <text>
        <r>
          <rPr>
            <sz val="11"/>
            <color theme="1"/>
            <rFont val="Calibri"/>
            <family val="2"/>
            <scheme val="minor"/>
          </rPr>
          <t>Monto calculado automáticamente por el sistema</t>
        </r>
      </text>
    </comment>
    <comment ref="A978" authorId="1">
      <text>
        <r>
          <rPr>
            <sz val="11"/>
            <color theme="1"/>
            <rFont val="Calibri"/>
            <family val="2"/>
            <scheme val="minor"/>
          </rPr>
          <t>Introducir un texto con el nombre o referencia de la contratación</t>
        </r>
      </text>
    </comment>
    <comment ref="B978" authorId="1">
      <text>
        <r>
          <rPr>
            <sz val="11"/>
            <color theme="1"/>
            <rFont val="Calibri"/>
            <family val="2"/>
            <scheme val="minor"/>
          </rPr>
          <t>Introduzca un texto con la finalidad de la contratación</t>
        </r>
      </text>
    </comment>
    <comment ref="C978" authorId="1">
      <text>
        <r>
          <rPr>
            <sz val="11"/>
            <color theme="1"/>
            <rFont val="Calibri"/>
            <family val="2"/>
            <scheme val="minor"/>
          </rPr>
          <t>Seleccionar un valor del listado</t>
        </r>
      </text>
    </comment>
    <comment ref="D978" authorId="1">
      <text>
        <r>
          <rPr>
            <sz val="11"/>
            <color theme="1"/>
            <rFont val="Calibri"/>
            <family val="2"/>
            <scheme val="minor"/>
          </rPr>
          <t>Seleccione el tipo de procedimiento</t>
        </r>
      </text>
    </comment>
    <comment ref="E978" authorId="1">
      <text>
        <r>
          <rPr>
            <sz val="11"/>
            <color theme="1"/>
            <rFont val="Calibri"/>
            <family val="2"/>
            <scheme val="minor"/>
          </rPr>
          <t>Seleccione un valor de la lista</t>
        </r>
      </text>
    </comment>
    <comment ref="F978" authorId="1">
      <text>
        <r>
          <rPr>
            <sz val="11"/>
            <color theme="1"/>
            <rFont val="Calibri"/>
            <family val="2"/>
            <scheme val="minor"/>
          </rPr>
          <t>Introduzca el código SNIP</t>
        </r>
      </text>
    </comment>
    <comment ref="C979" authorId="1">
      <text>
        <r>
          <rPr>
            <sz val="11"/>
            <color theme="1"/>
            <rFont val="Calibri"/>
            <family val="2"/>
            <scheme val="minor"/>
          </rPr>
          <t>Introduzca la fecha de inicio del proceso, en formato dd-mm-aaaa</t>
        </r>
      </text>
    </comment>
    <comment ref="F97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0" authorId="1">
      <text/>
    </comment>
    <comment ref="C981" authorId="1">
      <text>
        <r>
          <rPr>
            <sz val="11"/>
            <color theme="1"/>
            <rFont val="Calibri"/>
            <family val="2"/>
            <scheme val="minor"/>
          </rPr>
          <t>Introduzca la fecha prevista de adjudicación, en formato dd-mm-aaaa</t>
        </r>
      </text>
    </comment>
    <comment ref="F981" authorId="1">
      <text/>
    </comment>
    <comment ref="F982" authorId="1">
      <text/>
    </comment>
    <comment ref="A984" authorId="1">
      <text>
        <r>
          <rPr>
            <sz val="11"/>
            <color theme="1"/>
            <rFont val="Calibri"/>
            <family val="2"/>
            <scheme val="minor"/>
          </rPr>
          <t>Introduzca un codigo UNSPSC</t>
        </r>
      </text>
    </comment>
    <comment ref="B984" authorId="1">
      <text>
        <r>
          <rPr>
            <sz val="11"/>
            <color theme="1"/>
            <rFont val="Calibri"/>
            <family val="2"/>
            <scheme val="minor"/>
          </rPr>
          <t>Descripción calculada automáticamente a partir de código del artículo</t>
        </r>
      </text>
    </comment>
    <comment ref="C984" authorId="1">
      <text>
        <r>
          <rPr>
            <sz val="11"/>
            <color theme="1"/>
            <rFont val="Calibri"/>
            <family val="2"/>
            <scheme val="minor"/>
          </rPr>
          <t>Seleccione un valor de la lista</t>
        </r>
      </text>
    </comment>
    <comment ref="D984" authorId="1">
      <text>
        <r>
          <rPr>
            <sz val="11"/>
            <color theme="1"/>
            <rFont val="Calibri"/>
            <family val="2"/>
            <scheme val="minor"/>
          </rPr>
          <t>Introduzca un número con dos decimales como máximo. Debe ser igual o mayor a la "Cantidad Real Consumida"</t>
        </r>
      </text>
    </comment>
    <comment ref="E984" authorId="1">
      <text>
        <r>
          <rPr>
            <sz val="11"/>
            <color theme="1"/>
            <rFont val="Calibri"/>
            <family val="2"/>
            <scheme val="minor"/>
          </rPr>
          <t>Introduzca un número con dos decimales como máximo</t>
        </r>
      </text>
    </comment>
    <comment ref="F984" authorId="1">
      <text>
        <r>
          <rPr>
            <sz val="11"/>
            <color theme="1"/>
            <rFont val="Calibri"/>
            <family val="2"/>
            <scheme val="minor"/>
          </rPr>
          <t>Monto calculado automáticamente por el sistema</t>
        </r>
      </text>
    </comment>
    <comment ref="A989" authorId="1">
      <text>
        <r>
          <rPr>
            <sz val="11"/>
            <color theme="1"/>
            <rFont val="Calibri"/>
            <family val="2"/>
            <scheme val="minor"/>
          </rPr>
          <t>Introducir un texto con el nombre o referencia de la contratación</t>
        </r>
      </text>
    </comment>
    <comment ref="B989" authorId="1">
      <text>
        <r>
          <rPr>
            <sz val="11"/>
            <color theme="1"/>
            <rFont val="Calibri"/>
            <family val="2"/>
            <scheme val="minor"/>
          </rPr>
          <t>Introduzca un texto con la finalidad de la contratación</t>
        </r>
      </text>
    </comment>
    <comment ref="C989" authorId="1">
      <text>
        <r>
          <rPr>
            <sz val="11"/>
            <color theme="1"/>
            <rFont val="Calibri"/>
            <family val="2"/>
            <scheme val="minor"/>
          </rPr>
          <t>Seleccionar un valor del listado</t>
        </r>
      </text>
    </comment>
    <comment ref="D989" authorId="1">
      <text>
        <r>
          <rPr>
            <sz val="11"/>
            <color theme="1"/>
            <rFont val="Calibri"/>
            <family val="2"/>
            <scheme val="minor"/>
          </rPr>
          <t>Seleccione el tipo de procedimiento</t>
        </r>
      </text>
    </comment>
    <comment ref="E989" authorId="1">
      <text>
        <r>
          <rPr>
            <sz val="11"/>
            <color theme="1"/>
            <rFont val="Calibri"/>
            <family val="2"/>
            <scheme val="minor"/>
          </rPr>
          <t>Seleccione un valor de la lista</t>
        </r>
      </text>
    </comment>
    <comment ref="F989" authorId="1">
      <text>
        <r>
          <rPr>
            <sz val="11"/>
            <color theme="1"/>
            <rFont val="Calibri"/>
            <family val="2"/>
            <scheme val="minor"/>
          </rPr>
          <t>Introduzca el código SNIP</t>
        </r>
      </text>
    </comment>
    <comment ref="C990" authorId="1">
      <text>
        <r>
          <rPr>
            <sz val="11"/>
            <color theme="1"/>
            <rFont val="Calibri"/>
            <family val="2"/>
            <scheme val="minor"/>
          </rPr>
          <t>Introduzca la fecha de inicio del proceso, en formato dd-mm-aaaa</t>
        </r>
      </text>
    </comment>
    <comment ref="F99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1" authorId="1">
      <text/>
    </comment>
    <comment ref="C992" authorId="1">
      <text>
        <r>
          <rPr>
            <sz val="11"/>
            <color theme="1"/>
            <rFont val="Calibri"/>
            <family val="2"/>
            <scheme val="minor"/>
          </rPr>
          <t>Introduzca la fecha prevista de adjudicación, en formato dd-mm-aaaa</t>
        </r>
      </text>
    </comment>
    <comment ref="F992" authorId="1">
      <text/>
    </comment>
    <comment ref="F993" authorId="1">
      <text/>
    </comment>
    <comment ref="A995" authorId="1">
      <text>
        <r>
          <rPr>
            <sz val="11"/>
            <color theme="1"/>
            <rFont val="Calibri"/>
            <family val="2"/>
            <scheme val="minor"/>
          </rPr>
          <t>Introduzca un codigo UNSPSC</t>
        </r>
      </text>
    </comment>
    <comment ref="B995" authorId="1">
      <text>
        <r>
          <rPr>
            <sz val="11"/>
            <color theme="1"/>
            <rFont val="Calibri"/>
            <family val="2"/>
            <scheme val="minor"/>
          </rPr>
          <t>Descripción calculada automáticamente a partir de código del artículo</t>
        </r>
      </text>
    </comment>
    <comment ref="C995" authorId="1">
      <text>
        <r>
          <rPr>
            <sz val="11"/>
            <color theme="1"/>
            <rFont val="Calibri"/>
            <family val="2"/>
            <scheme val="minor"/>
          </rPr>
          <t>Seleccione un valor de la lista</t>
        </r>
      </text>
    </comment>
    <comment ref="D995" authorId="1">
      <text>
        <r>
          <rPr>
            <sz val="11"/>
            <color theme="1"/>
            <rFont val="Calibri"/>
            <family val="2"/>
            <scheme val="minor"/>
          </rPr>
          <t>Introduzca un número con dos decimales como máximo. Debe ser igual o mayor a la "Cantidad Real Consumida"</t>
        </r>
      </text>
    </comment>
    <comment ref="E995" authorId="1">
      <text>
        <r>
          <rPr>
            <sz val="11"/>
            <color theme="1"/>
            <rFont val="Calibri"/>
            <family val="2"/>
            <scheme val="minor"/>
          </rPr>
          <t>Introduzca un número con dos decimales como máximo</t>
        </r>
      </text>
    </comment>
    <comment ref="F995" authorId="1">
      <text>
        <r>
          <rPr>
            <sz val="11"/>
            <color theme="1"/>
            <rFont val="Calibri"/>
            <family val="2"/>
            <scheme val="minor"/>
          </rPr>
          <t>Monto calculado automáticamente por el sistema</t>
        </r>
      </text>
    </comment>
    <comment ref="A1000" authorId="1">
      <text>
        <r>
          <rPr>
            <sz val="11"/>
            <color theme="1"/>
            <rFont val="Calibri"/>
            <family val="2"/>
            <scheme val="minor"/>
          </rPr>
          <t>Introducir un texto con el nombre o referencia de la contratación</t>
        </r>
      </text>
    </comment>
    <comment ref="B1000" authorId="1">
      <text>
        <r>
          <rPr>
            <sz val="11"/>
            <color theme="1"/>
            <rFont val="Calibri"/>
            <family val="2"/>
            <scheme val="minor"/>
          </rPr>
          <t>Introduzca un texto con la finalidad de la contratación</t>
        </r>
      </text>
    </comment>
    <comment ref="C1000" authorId="1">
      <text>
        <r>
          <rPr>
            <sz val="11"/>
            <color theme="1"/>
            <rFont val="Calibri"/>
            <family val="2"/>
            <scheme val="minor"/>
          </rPr>
          <t>Seleccionar un valor del listado</t>
        </r>
      </text>
    </comment>
    <comment ref="D1000" authorId="1">
      <text>
        <r>
          <rPr>
            <sz val="11"/>
            <color theme="1"/>
            <rFont val="Calibri"/>
            <family val="2"/>
            <scheme val="minor"/>
          </rPr>
          <t>Seleccione el tipo de procedimiento</t>
        </r>
      </text>
    </comment>
    <comment ref="E1000" authorId="1">
      <text>
        <r>
          <rPr>
            <sz val="11"/>
            <color theme="1"/>
            <rFont val="Calibri"/>
            <family val="2"/>
            <scheme val="minor"/>
          </rPr>
          <t>Seleccione un valor de la lista</t>
        </r>
      </text>
    </comment>
    <comment ref="F1000" authorId="1">
      <text>
        <r>
          <rPr>
            <sz val="11"/>
            <color theme="1"/>
            <rFont val="Calibri"/>
            <family val="2"/>
            <scheme val="minor"/>
          </rPr>
          <t>Introduzca el código SNIP</t>
        </r>
      </text>
    </comment>
    <comment ref="C1001" authorId="1">
      <text>
        <r>
          <rPr>
            <sz val="11"/>
            <color theme="1"/>
            <rFont val="Calibri"/>
            <family val="2"/>
            <scheme val="minor"/>
          </rPr>
          <t>Introduzca la fecha de inicio del proceso, en formato dd-mm-aaaa</t>
        </r>
      </text>
    </comment>
    <comment ref="F100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2" authorId="1">
      <text/>
    </comment>
    <comment ref="C1003" authorId="1">
      <text>
        <r>
          <rPr>
            <sz val="11"/>
            <color theme="1"/>
            <rFont val="Calibri"/>
            <family val="2"/>
            <scheme val="minor"/>
          </rPr>
          <t>Introduzca la fecha prevista de adjudicación, en formato dd-mm-aaaa</t>
        </r>
      </text>
    </comment>
    <comment ref="F1003" authorId="1">
      <text/>
    </comment>
    <comment ref="F1004" authorId="1">
      <text/>
    </comment>
    <comment ref="A1006" authorId="1">
      <text>
        <r>
          <rPr>
            <sz val="11"/>
            <color theme="1"/>
            <rFont val="Calibri"/>
            <family val="2"/>
            <scheme val="minor"/>
          </rPr>
          <t>Introduzca un codigo UNSPSC</t>
        </r>
      </text>
    </comment>
    <comment ref="B1006" authorId="1">
      <text>
        <r>
          <rPr>
            <sz val="11"/>
            <color theme="1"/>
            <rFont val="Calibri"/>
            <family val="2"/>
            <scheme val="minor"/>
          </rPr>
          <t>Descripción calculada automáticamente a partir de código del artículo</t>
        </r>
      </text>
    </comment>
    <comment ref="C1006" authorId="1">
      <text>
        <r>
          <rPr>
            <sz val="11"/>
            <color theme="1"/>
            <rFont val="Calibri"/>
            <family val="2"/>
            <scheme val="minor"/>
          </rPr>
          <t>Seleccione un valor de la lista</t>
        </r>
      </text>
    </comment>
    <comment ref="D1006" authorId="1">
      <text>
        <r>
          <rPr>
            <sz val="11"/>
            <color theme="1"/>
            <rFont val="Calibri"/>
            <family val="2"/>
            <scheme val="minor"/>
          </rPr>
          <t>Introduzca un número con dos decimales como máximo. Debe ser igual o mayor a la "Cantidad Real Consumida"</t>
        </r>
      </text>
    </comment>
    <comment ref="E1006" authorId="1">
      <text>
        <r>
          <rPr>
            <sz val="11"/>
            <color theme="1"/>
            <rFont val="Calibri"/>
            <family val="2"/>
            <scheme val="minor"/>
          </rPr>
          <t>Introduzca un número con dos decimales como máximo</t>
        </r>
      </text>
    </comment>
    <comment ref="F1006" authorId="1">
      <text>
        <r>
          <rPr>
            <sz val="11"/>
            <color theme="1"/>
            <rFont val="Calibri"/>
            <family val="2"/>
            <scheme val="minor"/>
          </rPr>
          <t>Monto calculado automáticamente por el sistema</t>
        </r>
      </text>
    </comment>
    <comment ref="A1011" authorId="1">
      <text>
        <r>
          <rPr>
            <sz val="11"/>
            <color theme="1"/>
            <rFont val="Calibri"/>
            <family val="2"/>
            <scheme val="minor"/>
          </rPr>
          <t>Introducir un texto con el nombre o referencia de la contratación</t>
        </r>
      </text>
    </comment>
    <comment ref="B1011" authorId="1">
      <text>
        <r>
          <rPr>
            <sz val="11"/>
            <color theme="1"/>
            <rFont val="Calibri"/>
            <family val="2"/>
            <scheme val="minor"/>
          </rPr>
          <t>Introduzca un texto con la finalidad de la contratación</t>
        </r>
      </text>
    </comment>
    <comment ref="C1011" authorId="1">
      <text>
        <r>
          <rPr>
            <sz val="11"/>
            <color theme="1"/>
            <rFont val="Calibri"/>
            <family val="2"/>
            <scheme val="minor"/>
          </rPr>
          <t>Seleccionar un valor del listado</t>
        </r>
      </text>
    </comment>
    <comment ref="D1011" authorId="1">
      <text>
        <r>
          <rPr>
            <sz val="11"/>
            <color theme="1"/>
            <rFont val="Calibri"/>
            <family val="2"/>
            <scheme val="minor"/>
          </rPr>
          <t>Seleccione el tipo de procedimiento</t>
        </r>
      </text>
    </comment>
    <comment ref="E1011" authorId="1">
      <text>
        <r>
          <rPr>
            <sz val="11"/>
            <color theme="1"/>
            <rFont val="Calibri"/>
            <family val="2"/>
            <scheme val="minor"/>
          </rPr>
          <t>Seleccione un valor de la lista</t>
        </r>
      </text>
    </comment>
    <comment ref="F1011" authorId="1">
      <text>
        <r>
          <rPr>
            <sz val="11"/>
            <color theme="1"/>
            <rFont val="Calibri"/>
            <family val="2"/>
            <scheme val="minor"/>
          </rPr>
          <t>Introduzca el código SNIP</t>
        </r>
      </text>
    </comment>
    <comment ref="C1012" authorId="1">
      <text>
        <r>
          <rPr>
            <sz val="11"/>
            <color theme="1"/>
            <rFont val="Calibri"/>
            <family val="2"/>
            <scheme val="minor"/>
          </rPr>
          <t>Introduzca la fecha de inicio del proceso, en formato dd-mm-aaaa</t>
        </r>
      </text>
    </comment>
    <comment ref="F101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3" authorId="1">
      <text/>
    </comment>
    <comment ref="C1014" authorId="1">
      <text>
        <r>
          <rPr>
            <sz val="11"/>
            <color theme="1"/>
            <rFont val="Calibri"/>
            <family val="2"/>
            <scheme val="minor"/>
          </rPr>
          <t>Introduzca la fecha prevista de adjudicación, en formato dd-mm-aaaa</t>
        </r>
      </text>
    </comment>
    <comment ref="F1014" authorId="1">
      <text/>
    </comment>
    <comment ref="F1015" authorId="1">
      <text/>
    </comment>
    <comment ref="A1017" authorId="1">
      <text>
        <r>
          <rPr>
            <sz val="11"/>
            <color theme="1"/>
            <rFont val="Calibri"/>
            <family val="2"/>
            <scheme val="minor"/>
          </rPr>
          <t>Introduzca un codigo UNSPSC</t>
        </r>
      </text>
    </comment>
    <comment ref="B1017" authorId="1">
      <text>
        <r>
          <rPr>
            <sz val="11"/>
            <color theme="1"/>
            <rFont val="Calibri"/>
            <family val="2"/>
            <scheme val="minor"/>
          </rPr>
          <t>Descripción calculada automáticamente a partir de código del artículo</t>
        </r>
      </text>
    </comment>
    <comment ref="C1017" authorId="1">
      <text>
        <r>
          <rPr>
            <sz val="11"/>
            <color theme="1"/>
            <rFont val="Calibri"/>
            <family val="2"/>
            <scheme val="minor"/>
          </rPr>
          <t>Seleccione un valor de la lista</t>
        </r>
      </text>
    </comment>
    <comment ref="D1017" authorId="1">
      <text>
        <r>
          <rPr>
            <sz val="11"/>
            <color theme="1"/>
            <rFont val="Calibri"/>
            <family val="2"/>
            <scheme val="minor"/>
          </rPr>
          <t>Introduzca un número con dos decimales como máximo. Debe ser igual o mayor a la "Cantidad Real Consumida"</t>
        </r>
      </text>
    </comment>
    <comment ref="E1017" authorId="1">
      <text>
        <r>
          <rPr>
            <sz val="11"/>
            <color theme="1"/>
            <rFont val="Calibri"/>
            <family val="2"/>
            <scheme val="minor"/>
          </rPr>
          <t>Introduzca un número con dos decimales como máximo</t>
        </r>
      </text>
    </comment>
    <comment ref="F1017" authorId="1">
      <text>
        <r>
          <rPr>
            <sz val="11"/>
            <color theme="1"/>
            <rFont val="Calibri"/>
            <family val="2"/>
            <scheme val="minor"/>
          </rPr>
          <t>Monto calculado automáticamente por el sistema</t>
        </r>
      </text>
    </comment>
    <comment ref="A1022" authorId="1">
      <text>
        <r>
          <rPr>
            <sz val="11"/>
            <color theme="1"/>
            <rFont val="Calibri"/>
            <family val="2"/>
            <scheme val="minor"/>
          </rPr>
          <t>Introducir un texto con el nombre o referencia de la contratación</t>
        </r>
      </text>
    </comment>
    <comment ref="B1022" authorId="1">
      <text>
        <r>
          <rPr>
            <sz val="11"/>
            <color theme="1"/>
            <rFont val="Calibri"/>
            <family val="2"/>
            <scheme val="minor"/>
          </rPr>
          <t>Introduzca un texto con la finalidad de la contratación</t>
        </r>
      </text>
    </comment>
    <comment ref="C1022" authorId="1">
      <text>
        <r>
          <rPr>
            <sz val="11"/>
            <color theme="1"/>
            <rFont val="Calibri"/>
            <family val="2"/>
            <scheme val="minor"/>
          </rPr>
          <t>Seleccionar un valor del listado</t>
        </r>
      </text>
    </comment>
    <comment ref="D1022" authorId="1">
      <text>
        <r>
          <rPr>
            <sz val="11"/>
            <color theme="1"/>
            <rFont val="Calibri"/>
            <family val="2"/>
            <scheme val="minor"/>
          </rPr>
          <t>Seleccione el tipo de procedimiento</t>
        </r>
      </text>
    </comment>
    <comment ref="E1022" authorId="1">
      <text>
        <r>
          <rPr>
            <sz val="11"/>
            <color theme="1"/>
            <rFont val="Calibri"/>
            <family val="2"/>
            <scheme val="minor"/>
          </rPr>
          <t>Seleccione un valor de la lista</t>
        </r>
      </text>
    </comment>
    <comment ref="F1022" authorId="1">
      <text>
        <r>
          <rPr>
            <sz val="11"/>
            <color theme="1"/>
            <rFont val="Calibri"/>
            <family val="2"/>
            <scheme val="minor"/>
          </rPr>
          <t>Introduzca el código SNIP</t>
        </r>
      </text>
    </comment>
    <comment ref="C1023" authorId="1">
      <text>
        <r>
          <rPr>
            <sz val="11"/>
            <color theme="1"/>
            <rFont val="Calibri"/>
            <family val="2"/>
            <scheme val="minor"/>
          </rPr>
          <t>Introduzca la fecha de inicio del proceso, en formato dd-mm-aaaa</t>
        </r>
      </text>
    </comment>
    <comment ref="F102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24" authorId="1">
      <text/>
    </comment>
    <comment ref="C1025" authorId="1">
      <text>
        <r>
          <rPr>
            <sz val="11"/>
            <color theme="1"/>
            <rFont val="Calibri"/>
            <family val="2"/>
            <scheme val="minor"/>
          </rPr>
          <t>Introduzca la fecha prevista de adjudicación, en formato dd-mm-aaaa</t>
        </r>
      </text>
    </comment>
    <comment ref="F1025" authorId="1">
      <text/>
    </comment>
    <comment ref="F1026" authorId="1">
      <text/>
    </comment>
    <comment ref="A1028" authorId="1">
      <text>
        <r>
          <rPr>
            <sz val="11"/>
            <color theme="1"/>
            <rFont val="Calibri"/>
            <family val="2"/>
            <scheme val="minor"/>
          </rPr>
          <t>Introduzca un codigo UNSPSC</t>
        </r>
      </text>
    </comment>
    <comment ref="B1028" authorId="1">
      <text>
        <r>
          <rPr>
            <sz val="11"/>
            <color theme="1"/>
            <rFont val="Calibri"/>
            <family val="2"/>
            <scheme val="minor"/>
          </rPr>
          <t>Descripción calculada automáticamente a partir de código del artículo</t>
        </r>
      </text>
    </comment>
    <comment ref="C1028" authorId="1">
      <text>
        <r>
          <rPr>
            <sz val="11"/>
            <color theme="1"/>
            <rFont val="Calibri"/>
            <family val="2"/>
            <scheme val="minor"/>
          </rPr>
          <t>Seleccione un valor de la lista</t>
        </r>
      </text>
    </comment>
    <comment ref="D1028" authorId="1">
      <text>
        <r>
          <rPr>
            <sz val="11"/>
            <color theme="1"/>
            <rFont val="Calibri"/>
            <family val="2"/>
            <scheme val="minor"/>
          </rPr>
          <t>Introduzca un número con dos decimales como máximo. Debe ser igual o mayor a la "Cantidad Real Consumida"</t>
        </r>
      </text>
    </comment>
    <comment ref="E1028" authorId="1">
      <text>
        <r>
          <rPr>
            <sz val="11"/>
            <color theme="1"/>
            <rFont val="Calibri"/>
            <family val="2"/>
            <scheme val="minor"/>
          </rPr>
          <t>Introduzca un número con dos decimales como máximo</t>
        </r>
      </text>
    </comment>
    <comment ref="F1028" authorId="1">
      <text>
        <r>
          <rPr>
            <sz val="11"/>
            <color theme="1"/>
            <rFont val="Calibri"/>
            <family val="2"/>
            <scheme val="minor"/>
          </rPr>
          <t>Monto calculado automáticamente por el sistema</t>
        </r>
      </text>
    </comment>
    <comment ref="A1033" authorId="1">
      <text>
        <r>
          <rPr>
            <sz val="11"/>
            <color theme="1"/>
            <rFont val="Calibri"/>
            <family val="2"/>
            <scheme val="minor"/>
          </rPr>
          <t>Introducir un texto con el nombre o referencia de la contratación</t>
        </r>
      </text>
    </comment>
    <comment ref="B1033" authorId="1">
      <text>
        <r>
          <rPr>
            <sz val="11"/>
            <color theme="1"/>
            <rFont val="Calibri"/>
            <family val="2"/>
            <scheme val="minor"/>
          </rPr>
          <t>Introduzca un texto con la finalidad de la contratación</t>
        </r>
      </text>
    </comment>
    <comment ref="C1033" authorId="1">
      <text>
        <r>
          <rPr>
            <sz val="11"/>
            <color theme="1"/>
            <rFont val="Calibri"/>
            <family val="2"/>
            <scheme val="minor"/>
          </rPr>
          <t>Seleccionar un valor del listado</t>
        </r>
      </text>
    </comment>
    <comment ref="D1033" authorId="1">
      <text>
        <r>
          <rPr>
            <sz val="11"/>
            <color theme="1"/>
            <rFont val="Calibri"/>
            <family val="2"/>
            <scheme val="minor"/>
          </rPr>
          <t>Seleccione el tipo de procedimiento</t>
        </r>
      </text>
    </comment>
    <comment ref="E1033" authorId="1">
      <text>
        <r>
          <rPr>
            <sz val="11"/>
            <color theme="1"/>
            <rFont val="Calibri"/>
            <family val="2"/>
            <scheme val="minor"/>
          </rPr>
          <t>Seleccione un valor de la lista</t>
        </r>
      </text>
    </comment>
    <comment ref="F1033" authorId="1">
      <text>
        <r>
          <rPr>
            <sz val="11"/>
            <color theme="1"/>
            <rFont val="Calibri"/>
            <family val="2"/>
            <scheme val="minor"/>
          </rPr>
          <t>Introduzca el código SNIP</t>
        </r>
      </text>
    </comment>
    <comment ref="C1034" authorId="1">
      <text>
        <r>
          <rPr>
            <sz val="11"/>
            <color theme="1"/>
            <rFont val="Calibri"/>
            <family val="2"/>
            <scheme val="minor"/>
          </rPr>
          <t>Introduzca la fecha de inicio del proceso, en formato dd-mm-aaaa</t>
        </r>
      </text>
    </comment>
    <comment ref="F103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5" authorId="1">
      <text/>
    </comment>
    <comment ref="C1036" authorId="1">
      <text>
        <r>
          <rPr>
            <sz val="11"/>
            <color theme="1"/>
            <rFont val="Calibri"/>
            <family val="2"/>
            <scheme val="minor"/>
          </rPr>
          <t>Introduzca la fecha prevista de adjudicación, en formato dd-mm-aaaa</t>
        </r>
      </text>
    </comment>
    <comment ref="F1036" authorId="1">
      <text/>
    </comment>
    <comment ref="F1037" authorId="1">
      <text/>
    </comment>
    <comment ref="A1039" authorId="1">
      <text>
        <r>
          <rPr>
            <sz val="11"/>
            <color theme="1"/>
            <rFont val="Calibri"/>
            <family val="2"/>
            <scheme val="minor"/>
          </rPr>
          <t>Introduzca un codigo UNSPSC</t>
        </r>
      </text>
    </comment>
    <comment ref="B1039" authorId="1">
      <text>
        <r>
          <rPr>
            <sz val="11"/>
            <color theme="1"/>
            <rFont val="Calibri"/>
            <family val="2"/>
            <scheme val="minor"/>
          </rPr>
          <t>Descripción calculada automáticamente a partir de código del artículo</t>
        </r>
      </text>
    </comment>
    <comment ref="C1039" authorId="1">
      <text>
        <r>
          <rPr>
            <sz val="11"/>
            <color theme="1"/>
            <rFont val="Calibri"/>
            <family val="2"/>
            <scheme val="minor"/>
          </rPr>
          <t>Seleccione un valor de la lista</t>
        </r>
      </text>
    </comment>
    <comment ref="D1039" authorId="1">
      <text>
        <r>
          <rPr>
            <sz val="11"/>
            <color theme="1"/>
            <rFont val="Calibri"/>
            <family val="2"/>
            <scheme val="minor"/>
          </rPr>
          <t>Introduzca un número con dos decimales como máximo. Debe ser igual o mayor a la "Cantidad Real Consumida"</t>
        </r>
      </text>
    </comment>
    <comment ref="E1039" authorId="1">
      <text>
        <r>
          <rPr>
            <sz val="11"/>
            <color theme="1"/>
            <rFont val="Calibri"/>
            <family val="2"/>
            <scheme val="minor"/>
          </rPr>
          <t>Introduzca un número con dos decimales como máximo</t>
        </r>
      </text>
    </comment>
    <comment ref="F1039" authorId="1">
      <text>
        <r>
          <rPr>
            <sz val="11"/>
            <color theme="1"/>
            <rFont val="Calibri"/>
            <family val="2"/>
            <scheme val="minor"/>
          </rPr>
          <t>Monto calculado automáticamente por el sistema</t>
        </r>
      </text>
    </comment>
    <comment ref="A1044" authorId="1">
      <text>
        <r>
          <rPr>
            <sz val="11"/>
            <color theme="1"/>
            <rFont val="Calibri"/>
            <family val="2"/>
            <scheme val="minor"/>
          </rPr>
          <t>Introducir un texto con el nombre o referencia de la contratación</t>
        </r>
      </text>
    </comment>
    <comment ref="B1044" authorId="1">
      <text>
        <r>
          <rPr>
            <sz val="11"/>
            <color theme="1"/>
            <rFont val="Calibri"/>
            <family val="2"/>
            <scheme val="minor"/>
          </rPr>
          <t>Introduzca un texto con la finalidad de la contratación</t>
        </r>
      </text>
    </comment>
    <comment ref="C1044" authorId="1">
      <text>
        <r>
          <rPr>
            <sz val="11"/>
            <color theme="1"/>
            <rFont val="Calibri"/>
            <family val="2"/>
            <scheme val="minor"/>
          </rPr>
          <t>Seleccionar un valor del listado</t>
        </r>
      </text>
    </comment>
    <comment ref="D1044" authorId="1">
      <text>
        <r>
          <rPr>
            <sz val="11"/>
            <color theme="1"/>
            <rFont val="Calibri"/>
            <family val="2"/>
            <scheme val="minor"/>
          </rPr>
          <t>Seleccione el tipo de procedimiento</t>
        </r>
      </text>
    </comment>
    <comment ref="E1044" authorId="1">
      <text>
        <r>
          <rPr>
            <sz val="11"/>
            <color theme="1"/>
            <rFont val="Calibri"/>
            <family val="2"/>
            <scheme val="minor"/>
          </rPr>
          <t>Seleccione un valor de la lista</t>
        </r>
      </text>
    </comment>
    <comment ref="F1044" authorId="1">
      <text>
        <r>
          <rPr>
            <sz val="11"/>
            <color theme="1"/>
            <rFont val="Calibri"/>
            <family val="2"/>
            <scheme val="minor"/>
          </rPr>
          <t>Introduzca el código SNIP</t>
        </r>
      </text>
    </comment>
    <comment ref="C1045" authorId="1">
      <text>
        <r>
          <rPr>
            <sz val="11"/>
            <color theme="1"/>
            <rFont val="Calibri"/>
            <family val="2"/>
            <scheme val="minor"/>
          </rPr>
          <t>Introduzca la fecha de inicio del proceso, en formato dd-mm-aaaa</t>
        </r>
      </text>
    </comment>
    <comment ref="F104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6" authorId="1">
      <text/>
    </comment>
    <comment ref="C1047" authorId="1">
      <text>
        <r>
          <rPr>
            <sz val="11"/>
            <color theme="1"/>
            <rFont val="Calibri"/>
            <family val="2"/>
            <scheme val="minor"/>
          </rPr>
          <t>Introduzca la fecha prevista de adjudicación, en formato dd-mm-aaaa</t>
        </r>
      </text>
    </comment>
    <comment ref="F1047" authorId="1">
      <text/>
    </comment>
    <comment ref="F1048" authorId="1">
      <text/>
    </comment>
    <comment ref="A1050" authorId="1">
      <text>
        <r>
          <rPr>
            <sz val="11"/>
            <color theme="1"/>
            <rFont val="Calibri"/>
            <family val="2"/>
            <scheme val="minor"/>
          </rPr>
          <t>Introduzca un codigo UNSPSC</t>
        </r>
      </text>
    </comment>
    <comment ref="B1050" authorId="1">
      <text>
        <r>
          <rPr>
            <sz val="11"/>
            <color theme="1"/>
            <rFont val="Calibri"/>
            <family val="2"/>
            <scheme val="minor"/>
          </rPr>
          <t>Descripción calculada automáticamente a partir de código del artículo</t>
        </r>
      </text>
    </comment>
    <comment ref="C1050" authorId="1">
      <text>
        <r>
          <rPr>
            <sz val="11"/>
            <color theme="1"/>
            <rFont val="Calibri"/>
            <family val="2"/>
            <scheme val="minor"/>
          </rPr>
          <t>Seleccione un valor de la lista</t>
        </r>
      </text>
    </comment>
    <comment ref="D1050" authorId="1">
      <text>
        <r>
          <rPr>
            <sz val="11"/>
            <color theme="1"/>
            <rFont val="Calibri"/>
            <family val="2"/>
            <scheme val="minor"/>
          </rPr>
          <t>Introduzca un número con dos decimales como máximo. Debe ser igual o mayor a la "Cantidad Real Consumida"</t>
        </r>
      </text>
    </comment>
    <comment ref="E1050" authorId="1">
      <text>
        <r>
          <rPr>
            <sz val="11"/>
            <color theme="1"/>
            <rFont val="Calibri"/>
            <family val="2"/>
            <scheme val="minor"/>
          </rPr>
          <t>Introduzca un número con dos decimales como máximo</t>
        </r>
      </text>
    </comment>
    <comment ref="F1050" authorId="1">
      <text>
        <r>
          <rPr>
            <sz val="11"/>
            <color theme="1"/>
            <rFont val="Calibri"/>
            <family val="2"/>
            <scheme val="minor"/>
          </rPr>
          <t>Monto calculado automáticamente por el sistema</t>
        </r>
      </text>
    </comment>
    <comment ref="A1055" authorId="1">
      <text>
        <r>
          <rPr>
            <sz val="11"/>
            <color theme="1"/>
            <rFont val="Calibri"/>
            <family val="2"/>
            <scheme val="minor"/>
          </rPr>
          <t>Introducir un texto con el nombre o referencia de la contratación</t>
        </r>
      </text>
    </comment>
    <comment ref="B1055" authorId="1">
      <text>
        <r>
          <rPr>
            <sz val="11"/>
            <color theme="1"/>
            <rFont val="Calibri"/>
            <family val="2"/>
            <scheme val="minor"/>
          </rPr>
          <t>Introduzca un texto con la finalidad de la contratación</t>
        </r>
      </text>
    </comment>
    <comment ref="C1055" authorId="1">
      <text>
        <r>
          <rPr>
            <sz val="11"/>
            <color theme="1"/>
            <rFont val="Calibri"/>
            <family val="2"/>
            <scheme val="minor"/>
          </rPr>
          <t>Seleccionar un valor del listado</t>
        </r>
      </text>
    </comment>
    <comment ref="D1055" authorId="1">
      <text>
        <r>
          <rPr>
            <sz val="11"/>
            <color theme="1"/>
            <rFont val="Calibri"/>
            <family val="2"/>
            <scheme val="minor"/>
          </rPr>
          <t>Seleccione el tipo de procedimiento</t>
        </r>
      </text>
    </comment>
    <comment ref="E1055" authorId="1">
      <text>
        <r>
          <rPr>
            <sz val="11"/>
            <color theme="1"/>
            <rFont val="Calibri"/>
            <family val="2"/>
            <scheme val="minor"/>
          </rPr>
          <t>Seleccione un valor de la lista</t>
        </r>
      </text>
    </comment>
    <comment ref="F1055" authorId="1">
      <text>
        <r>
          <rPr>
            <sz val="11"/>
            <color theme="1"/>
            <rFont val="Calibri"/>
            <family val="2"/>
            <scheme val="minor"/>
          </rPr>
          <t>Introduzca el código SNIP</t>
        </r>
      </text>
    </comment>
    <comment ref="C1056" authorId="1">
      <text>
        <r>
          <rPr>
            <sz val="11"/>
            <color theme="1"/>
            <rFont val="Calibri"/>
            <family val="2"/>
            <scheme val="minor"/>
          </rPr>
          <t>Introduzca la fecha de inicio del proceso, en formato dd-mm-aaaa</t>
        </r>
      </text>
    </comment>
    <comment ref="F105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7" authorId="1">
      <text/>
    </comment>
    <comment ref="C1058" authorId="1">
      <text>
        <r>
          <rPr>
            <sz val="11"/>
            <color theme="1"/>
            <rFont val="Calibri"/>
            <family val="2"/>
            <scheme val="minor"/>
          </rPr>
          <t>Introduzca la fecha prevista de adjudicación, en formato dd-mm-aaaa</t>
        </r>
      </text>
    </comment>
    <comment ref="F1058" authorId="1">
      <text/>
    </comment>
    <comment ref="F1059" authorId="1">
      <text/>
    </comment>
    <comment ref="A1061" authorId="1">
      <text>
        <r>
          <rPr>
            <sz val="11"/>
            <color theme="1"/>
            <rFont val="Calibri"/>
            <family val="2"/>
            <scheme val="minor"/>
          </rPr>
          <t>Introduzca un codigo UNSPSC</t>
        </r>
      </text>
    </comment>
    <comment ref="B1061" authorId="1">
      <text>
        <r>
          <rPr>
            <sz val="11"/>
            <color theme="1"/>
            <rFont val="Calibri"/>
            <family val="2"/>
            <scheme val="minor"/>
          </rPr>
          <t>Descripción calculada automáticamente a partir de código del artículo</t>
        </r>
      </text>
    </comment>
    <comment ref="C1061" authorId="1">
      <text>
        <r>
          <rPr>
            <sz val="11"/>
            <color theme="1"/>
            <rFont val="Calibri"/>
            <family val="2"/>
            <scheme val="minor"/>
          </rPr>
          <t>Seleccione un valor de la lista</t>
        </r>
      </text>
    </comment>
    <comment ref="D1061" authorId="1">
      <text>
        <r>
          <rPr>
            <sz val="11"/>
            <color theme="1"/>
            <rFont val="Calibri"/>
            <family val="2"/>
            <scheme val="minor"/>
          </rPr>
          <t>Introduzca un número con dos decimales como máximo. Debe ser igual o mayor a la "Cantidad Real Consumida"</t>
        </r>
      </text>
    </comment>
    <comment ref="E1061" authorId="1">
      <text>
        <r>
          <rPr>
            <sz val="11"/>
            <color theme="1"/>
            <rFont val="Calibri"/>
            <family val="2"/>
            <scheme val="minor"/>
          </rPr>
          <t>Introduzca un número con dos decimales como máximo</t>
        </r>
      </text>
    </comment>
    <comment ref="F1061" authorId="1">
      <text>
        <r>
          <rPr>
            <sz val="11"/>
            <color theme="1"/>
            <rFont val="Calibri"/>
            <family val="2"/>
            <scheme val="minor"/>
          </rPr>
          <t>Monto calculado automáticamente por el sistema</t>
        </r>
      </text>
    </comment>
    <comment ref="A1066" authorId="1">
      <text>
        <r>
          <rPr>
            <sz val="11"/>
            <color theme="1"/>
            <rFont val="Calibri"/>
            <family val="2"/>
            <scheme val="minor"/>
          </rPr>
          <t>Introducir un texto con el nombre o referencia de la contratación</t>
        </r>
      </text>
    </comment>
    <comment ref="B1066" authorId="1">
      <text>
        <r>
          <rPr>
            <sz val="11"/>
            <color theme="1"/>
            <rFont val="Calibri"/>
            <family val="2"/>
            <scheme val="minor"/>
          </rPr>
          <t>Introduzca un texto con la finalidad de la contratación</t>
        </r>
      </text>
    </comment>
    <comment ref="C1066" authorId="1">
      <text>
        <r>
          <rPr>
            <sz val="11"/>
            <color theme="1"/>
            <rFont val="Calibri"/>
            <family val="2"/>
            <scheme val="minor"/>
          </rPr>
          <t>Seleccionar un valor del listado</t>
        </r>
      </text>
    </comment>
    <comment ref="D1066" authorId="1">
      <text>
        <r>
          <rPr>
            <sz val="11"/>
            <color theme="1"/>
            <rFont val="Calibri"/>
            <family val="2"/>
            <scheme val="minor"/>
          </rPr>
          <t>Seleccione el tipo de procedimiento</t>
        </r>
      </text>
    </comment>
    <comment ref="E1066" authorId="1">
      <text>
        <r>
          <rPr>
            <sz val="11"/>
            <color theme="1"/>
            <rFont val="Calibri"/>
            <family val="2"/>
            <scheme val="minor"/>
          </rPr>
          <t>Seleccione un valor de la lista</t>
        </r>
      </text>
    </comment>
    <comment ref="F1066" authorId="1">
      <text>
        <r>
          <rPr>
            <sz val="11"/>
            <color theme="1"/>
            <rFont val="Calibri"/>
            <family val="2"/>
            <scheme val="minor"/>
          </rPr>
          <t>Introduzca el código SNIP</t>
        </r>
      </text>
    </comment>
    <comment ref="C1067" authorId="1">
      <text>
        <r>
          <rPr>
            <sz val="11"/>
            <color theme="1"/>
            <rFont val="Calibri"/>
            <family val="2"/>
            <scheme val="minor"/>
          </rPr>
          <t>Introduzca la fecha de inicio del proceso, en formato dd-mm-aaaa</t>
        </r>
      </text>
    </comment>
    <comment ref="F106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8" authorId="1">
      <text/>
    </comment>
    <comment ref="C1069" authorId="1">
      <text>
        <r>
          <rPr>
            <sz val="11"/>
            <color theme="1"/>
            <rFont val="Calibri"/>
            <family val="2"/>
            <scheme val="minor"/>
          </rPr>
          <t>Introduzca la fecha prevista de adjudicación, en formato dd-mm-aaaa</t>
        </r>
      </text>
    </comment>
    <comment ref="F1069" authorId="1">
      <text/>
    </comment>
    <comment ref="F1070" authorId="1">
      <text/>
    </comment>
    <comment ref="A1072" authorId="1">
      <text>
        <r>
          <rPr>
            <sz val="11"/>
            <color theme="1"/>
            <rFont val="Calibri"/>
            <family val="2"/>
            <scheme val="minor"/>
          </rPr>
          <t>Introduzca un codigo UNSPSC</t>
        </r>
      </text>
    </comment>
    <comment ref="B1072" authorId="1">
      <text>
        <r>
          <rPr>
            <sz val="11"/>
            <color theme="1"/>
            <rFont val="Calibri"/>
            <family val="2"/>
            <scheme val="minor"/>
          </rPr>
          <t>Descripción calculada automáticamente a partir de código del artículo</t>
        </r>
      </text>
    </comment>
    <comment ref="C1072" authorId="1">
      <text>
        <r>
          <rPr>
            <sz val="11"/>
            <color theme="1"/>
            <rFont val="Calibri"/>
            <family val="2"/>
            <scheme val="minor"/>
          </rPr>
          <t>Seleccione un valor de la lista</t>
        </r>
      </text>
    </comment>
    <comment ref="D1072" authorId="1">
      <text>
        <r>
          <rPr>
            <sz val="11"/>
            <color theme="1"/>
            <rFont val="Calibri"/>
            <family val="2"/>
            <scheme val="minor"/>
          </rPr>
          <t>Introduzca un número con dos decimales como máximo. Debe ser igual o mayor a la "Cantidad Real Consumida"</t>
        </r>
      </text>
    </comment>
    <comment ref="E1072" authorId="1">
      <text>
        <r>
          <rPr>
            <sz val="11"/>
            <color theme="1"/>
            <rFont val="Calibri"/>
            <family val="2"/>
            <scheme val="minor"/>
          </rPr>
          <t>Introduzca un número con dos decimales como máximo</t>
        </r>
      </text>
    </comment>
    <comment ref="F1072" authorId="1">
      <text>
        <r>
          <rPr>
            <sz val="11"/>
            <color theme="1"/>
            <rFont val="Calibri"/>
            <family val="2"/>
            <scheme val="minor"/>
          </rPr>
          <t>Monto calculado automáticamente por el sistema</t>
        </r>
      </text>
    </comment>
    <comment ref="A1077" authorId="1">
      <text>
        <r>
          <rPr>
            <sz val="11"/>
            <color theme="1"/>
            <rFont val="Calibri"/>
            <family val="2"/>
            <scheme val="minor"/>
          </rPr>
          <t>Introducir un texto con el nombre o referencia de la contratación</t>
        </r>
      </text>
    </comment>
    <comment ref="B1077" authorId="1">
      <text>
        <r>
          <rPr>
            <sz val="11"/>
            <color theme="1"/>
            <rFont val="Calibri"/>
            <family val="2"/>
            <scheme val="minor"/>
          </rPr>
          <t>Introduzca un texto con la finalidad de la contratación</t>
        </r>
      </text>
    </comment>
    <comment ref="C1077" authorId="1">
      <text>
        <r>
          <rPr>
            <sz val="11"/>
            <color theme="1"/>
            <rFont val="Calibri"/>
            <family val="2"/>
            <scheme val="minor"/>
          </rPr>
          <t>Seleccionar un valor del listado</t>
        </r>
      </text>
    </comment>
    <comment ref="D1077" authorId="1">
      <text>
        <r>
          <rPr>
            <sz val="11"/>
            <color theme="1"/>
            <rFont val="Calibri"/>
            <family val="2"/>
            <scheme val="minor"/>
          </rPr>
          <t>Seleccione el tipo de procedimiento</t>
        </r>
      </text>
    </comment>
    <comment ref="E1077" authorId="1">
      <text>
        <r>
          <rPr>
            <sz val="11"/>
            <color theme="1"/>
            <rFont val="Calibri"/>
            <family val="2"/>
            <scheme val="minor"/>
          </rPr>
          <t>Seleccione un valor de la lista</t>
        </r>
      </text>
    </comment>
    <comment ref="F1077" authorId="1">
      <text>
        <r>
          <rPr>
            <sz val="11"/>
            <color theme="1"/>
            <rFont val="Calibri"/>
            <family val="2"/>
            <scheme val="minor"/>
          </rPr>
          <t>Introduzca el código SNIP</t>
        </r>
      </text>
    </comment>
    <comment ref="C1078" authorId="1">
      <text>
        <r>
          <rPr>
            <sz val="11"/>
            <color theme="1"/>
            <rFont val="Calibri"/>
            <family val="2"/>
            <scheme val="minor"/>
          </rPr>
          <t>Introduzca la fecha de inicio del proceso, en formato dd-mm-aaaa</t>
        </r>
      </text>
    </comment>
    <comment ref="F107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9" authorId="1">
      <text/>
    </comment>
    <comment ref="C1080" authorId="1">
      <text>
        <r>
          <rPr>
            <sz val="11"/>
            <color theme="1"/>
            <rFont val="Calibri"/>
            <family val="2"/>
            <scheme val="minor"/>
          </rPr>
          <t>Introduzca la fecha prevista de adjudicación, en formato dd-mm-aaaa</t>
        </r>
      </text>
    </comment>
    <comment ref="F1080" authorId="1">
      <text/>
    </comment>
    <comment ref="F1081" authorId="1">
      <text/>
    </comment>
    <comment ref="A1083" authorId="1">
      <text>
        <r>
          <rPr>
            <sz val="11"/>
            <color theme="1"/>
            <rFont val="Calibri"/>
            <family val="2"/>
            <scheme val="minor"/>
          </rPr>
          <t>Introduzca un codigo UNSPSC</t>
        </r>
      </text>
    </comment>
    <comment ref="B1083" authorId="1">
      <text>
        <r>
          <rPr>
            <sz val="11"/>
            <color theme="1"/>
            <rFont val="Calibri"/>
            <family val="2"/>
            <scheme val="minor"/>
          </rPr>
          <t>Descripción calculada automáticamente a partir de código del artículo</t>
        </r>
      </text>
    </comment>
    <comment ref="C1083" authorId="1">
      <text>
        <r>
          <rPr>
            <sz val="11"/>
            <color theme="1"/>
            <rFont val="Calibri"/>
            <family val="2"/>
            <scheme val="minor"/>
          </rPr>
          <t>Seleccione un valor de la lista</t>
        </r>
      </text>
    </comment>
    <comment ref="D1083" authorId="1">
      <text>
        <r>
          <rPr>
            <sz val="11"/>
            <color theme="1"/>
            <rFont val="Calibri"/>
            <family val="2"/>
            <scheme val="minor"/>
          </rPr>
          <t>Introduzca un número con dos decimales como máximo. Debe ser igual o mayor a la "Cantidad Real Consumida"</t>
        </r>
      </text>
    </comment>
    <comment ref="E1083" authorId="1">
      <text>
        <r>
          <rPr>
            <sz val="11"/>
            <color theme="1"/>
            <rFont val="Calibri"/>
            <family val="2"/>
            <scheme val="minor"/>
          </rPr>
          <t>Introduzca un número con dos decimales como máximo</t>
        </r>
      </text>
    </comment>
    <comment ref="F1083" authorId="1">
      <text>
        <r>
          <rPr>
            <sz val="11"/>
            <color theme="1"/>
            <rFont val="Calibri"/>
            <family val="2"/>
            <scheme val="minor"/>
          </rPr>
          <t>Monto calculado automáticamente por el sistema</t>
        </r>
      </text>
    </comment>
    <comment ref="A1088" authorId="1">
      <text>
        <r>
          <rPr>
            <sz val="11"/>
            <color theme="1"/>
            <rFont val="Calibri"/>
            <family val="2"/>
            <scheme val="minor"/>
          </rPr>
          <t>Introducir un texto con el nombre o referencia de la contratación</t>
        </r>
      </text>
    </comment>
    <comment ref="B1088" authorId="1">
      <text>
        <r>
          <rPr>
            <sz val="11"/>
            <color theme="1"/>
            <rFont val="Calibri"/>
            <family val="2"/>
            <scheme val="minor"/>
          </rPr>
          <t>Introduzca un texto con la finalidad de la contratación</t>
        </r>
      </text>
    </comment>
    <comment ref="C1088" authorId="1">
      <text>
        <r>
          <rPr>
            <sz val="11"/>
            <color theme="1"/>
            <rFont val="Calibri"/>
            <family val="2"/>
            <scheme val="minor"/>
          </rPr>
          <t>Seleccionar un valor del listado</t>
        </r>
      </text>
    </comment>
    <comment ref="D1088" authorId="1">
      <text>
        <r>
          <rPr>
            <sz val="11"/>
            <color theme="1"/>
            <rFont val="Calibri"/>
            <family val="2"/>
            <scheme val="minor"/>
          </rPr>
          <t>Seleccione el tipo de procedimiento</t>
        </r>
      </text>
    </comment>
    <comment ref="E1088" authorId="1">
      <text>
        <r>
          <rPr>
            <sz val="11"/>
            <color theme="1"/>
            <rFont val="Calibri"/>
            <family val="2"/>
            <scheme val="minor"/>
          </rPr>
          <t>Seleccione un valor de la lista</t>
        </r>
      </text>
    </comment>
    <comment ref="F1088" authorId="1">
      <text>
        <r>
          <rPr>
            <sz val="11"/>
            <color theme="1"/>
            <rFont val="Calibri"/>
            <family val="2"/>
            <scheme val="minor"/>
          </rPr>
          <t>Introduzca el código SNIP</t>
        </r>
      </text>
    </comment>
    <comment ref="C1089" authorId="1">
      <text>
        <r>
          <rPr>
            <sz val="11"/>
            <color theme="1"/>
            <rFont val="Calibri"/>
            <family val="2"/>
            <scheme val="minor"/>
          </rPr>
          <t>Introduzca la fecha de inicio del proceso, en formato dd-mm-aaaa</t>
        </r>
      </text>
    </comment>
    <comment ref="F108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0" authorId="1">
      <text/>
    </comment>
    <comment ref="C1091" authorId="1">
      <text>
        <r>
          <rPr>
            <sz val="11"/>
            <color theme="1"/>
            <rFont val="Calibri"/>
            <family val="2"/>
            <scheme val="minor"/>
          </rPr>
          <t>Introduzca la fecha prevista de adjudicación, en formato dd-mm-aaaa</t>
        </r>
      </text>
    </comment>
    <comment ref="F1091" authorId="1">
      <text/>
    </comment>
    <comment ref="F1092" authorId="1">
      <text/>
    </comment>
    <comment ref="A1094" authorId="1">
      <text>
        <r>
          <rPr>
            <sz val="11"/>
            <color theme="1"/>
            <rFont val="Calibri"/>
            <family val="2"/>
            <scheme val="minor"/>
          </rPr>
          <t>Introduzca un codigo UNSPSC</t>
        </r>
      </text>
    </comment>
    <comment ref="B1094" authorId="1">
      <text>
        <r>
          <rPr>
            <sz val="11"/>
            <color theme="1"/>
            <rFont val="Calibri"/>
            <family val="2"/>
            <scheme val="minor"/>
          </rPr>
          <t>Descripción calculada automáticamente a partir de código del artículo</t>
        </r>
      </text>
    </comment>
    <comment ref="C1094" authorId="1">
      <text>
        <r>
          <rPr>
            <sz val="11"/>
            <color theme="1"/>
            <rFont val="Calibri"/>
            <family val="2"/>
            <scheme val="minor"/>
          </rPr>
          <t>Seleccione un valor de la lista</t>
        </r>
      </text>
    </comment>
    <comment ref="D1094" authorId="1">
      <text>
        <r>
          <rPr>
            <sz val="11"/>
            <color theme="1"/>
            <rFont val="Calibri"/>
            <family val="2"/>
            <scheme val="minor"/>
          </rPr>
          <t>Introduzca un número con dos decimales como máximo. Debe ser igual o mayor a la "Cantidad Real Consumida"</t>
        </r>
      </text>
    </comment>
    <comment ref="E1094" authorId="1">
      <text>
        <r>
          <rPr>
            <sz val="11"/>
            <color theme="1"/>
            <rFont val="Calibri"/>
            <family val="2"/>
            <scheme val="minor"/>
          </rPr>
          <t>Introduzca un número con dos decimales como máximo</t>
        </r>
      </text>
    </comment>
    <comment ref="F1094" authorId="1">
      <text>
        <r>
          <rPr>
            <sz val="11"/>
            <color theme="1"/>
            <rFont val="Calibri"/>
            <family val="2"/>
            <scheme val="minor"/>
          </rPr>
          <t>Monto calculado automáticamente por el sistema</t>
        </r>
      </text>
    </comment>
    <comment ref="A1099" authorId="1">
      <text>
        <r>
          <rPr>
            <sz val="11"/>
            <color theme="1"/>
            <rFont val="Calibri"/>
            <family val="2"/>
            <scheme val="minor"/>
          </rPr>
          <t>Introducir un texto con el nombre o referencia de la contratación</t>
        </r>
      </text>
    </comment>
    <comment ref="B1099" authorId="1">
      <text>
        <r>
          <rPr>
            <sz val="11"/>
            <color theme="1"/>
            <rFont val="Calibri"/>
            <family val="2"/>
            <scheme val="minor"/>
          </rPr>
          <t>Introduzca un texto con la finalidad de la contratación</t>
        </r>
      </text>
    </comment>
    <comment ref="C1099" authorId="1">
      <text>
        <r>
          <rPr>
            <sz val="11"/>
            <color theme="1"/>
            <rFont val="Calibri"/>
            <family val="2"/>
            <scheme val="minor"/>
          </rPr>
          <t>Seleccionar un valor del listado</t>
        </r>
      </text>
    </comment>
    <comment ref="D1099" authorId="1">
      <text>
        <r>
          <rPr>
            <sz val="11"/>
            <color theme="1"/>
            <rFont val="Calibri"/>
            <family val="2"/>
            <scheme val="minor"/>
          </rPr>
          <t>Seleccione el tipo de procedimiento</t>
        </r>
      </text>
    </comment>
    <comment ref="E1099" authorId="1">
      <text>
        <r>
          <rPr>
            <sz val="11"/>
            <color theme="1"/>
            <rFont val="Calibri"/>
            <family val="2"/>
            <scheme val="minor"/>
          </rPr>
          <t>Seleccione un valor de la lista</t>
        </r>
      </text>
    </comment>
    <comment ref="F1099" authorId="1">
      <text>
        <r>
          <rPr>
            <sz val="11"/>
            <color theme="1"/>
            <rFont val="Calibri"/>
            <family val="2"/>
            <scheme val="minor"/>
          </rPr>
          <t>Introduzca el código SNIP</t>
        </r>
      </text>
    </comment>
    <comment ref="C1100" authorId="1">
      <text>
        <r>
          <rPr>
            <sz val="11"/>
            <color theme="1"/>
            <rFont val="Calibri"/>
            <family val="2"/>
            <scheme val="minor"/>
          </rPr>
          <t>Introduzca la fecha de inicio del proceso, en formato dd-mm-aaaa</t>
        </r>
      </text>
    </comment>
    <comment ref="F110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1" authorId="1">
      <text/>
    </comment>
    <comment ref="C1102" authorId="1">
      <text>
        <r>
          <rPr>
            <sz val="11"/>
            <color theme="1"/>
            <rFont val="Calibri"/>
            <family val="2"/>
            <scheme val="minor"/>
          </rPr>
          <t>Introduzca la fecha prevista de adjudicación, en formato dd-mm-aaaa</t>
        </r>
      </text>
    </comment>
    <comment ref="F1102" authorId="1">
      <text/>
    </comment>
    <comment ref="F1103" authorId="1">
      <text/>
    </comment>
    <comment ref="A1105" authorId="1">
      <text>
        <r>
          <rPr>
            <sz val="11"/>
            <color theme="1"/>
            <rFont val="Calibri"/>
            <family val="2"/>
            <scheme val="minor"/>
          </rPr>
          <t>Introduzca un codigo UNSPSC</t>
        </r>
      </text>
    </comment>
    <comment ref="B1105" authorId="1">
      <text>
        <r>
          <rPr>
            <sz val="11"/>
            <color theme="1"/>
            <rFont val="Calibri"/>
            <family val="2"/>
            <scheme val="minor"/>
          </rPr>
          <t>Descripción calculada automáticamente a partir de código del artículo</t>
        </r>
      </text>
    </comment>
    <comment ref="C1105" authorId="1">
      <text>
        <r>
          <rPr>
            <sz val="11"/>
            <color theme="1"/>
            <rFont val="Calibri"/>
            <family val="2"/>
            <scheme val="minor"/>
          </rPr>
          <t>Seleccione un valor de la lista</t>
        </r>
      </text>
    </comment>
    <comment ref="D1105" authorId="1">
      <text>
        <r>
          <rPr>
            <sz val="11"/>
            <color theme="1"/>
            <rFont val="Calibri"/>
            <family val="2"/>
            <scheme val="minor"/>
          </rPr>
          <t>Introduzca un número con dos decimales como máximo. Debe ser igual o mayor a la "Cantidad Real Consumida"</t>
        </r>
      </text>
    </comment>
    <comment ref="E1105" authorId="1">
      <text>
        <r>
          <rPr>
            <sz val="11"/>
            <color theme="1"/>
            <rFont val="Calibri"/>
            <family val="2"/>
            <scheme val="minor"/>
          </rPr>
          <t>Introduzca un número con dos decimales como máximo</t>
        </r>
      </text>
    </comment>
    <comment ref="F1105" authorId="1">
      <text>
        <r>
          <rPr>
            <sz val="11"/>
            <color theme="1"/>
            <rFont val="Calibri"/>
            <family val="2"/>
            <scheme val="minor"/>
          </rPr>
          <t>Monto calculado automáticamente por el sistema</t>
        </r>
      </text>
    </comment>
    <comment ref="A1114" authorId="1">
      <text>
        <r>
          <rPr>
            <sz val="11"/>
            <color theme="1"/>
            <rFont val="Calibri"/>
            <family val="2"/>
            <scheme val="minor"/>
          </rPr>
          <t>Introducir un texto con el nombre o referencia de la contratación</t>
        </r>
      </text>
    </comment>
    <comment ref="B1114" authorId="1">
      <text>
        <r>
          <rPr>
            <sz val="11"/>
            <color theme="1"/>
            <rFont val="Calibri"/>
            <family val="2"/>
            <scheme val="minor"/>
          </rPr>
          <t>Introduzca un texto con la finalidad de la contratación</t>
        </r>
      </text>
    </comment>
    <comment ref="C1114" authorId="1">
      <text>
        <r>
          <rPr>
            <sz val="11"/>
            <color theme="1"/>
            <rFont val="Calibri"/>
            <family val="2"/>
            <scheme val="minor"/>
          </rPr>
          <t>Seleccionar un valor del listado</t>
        </r>
      </text>
    </comment>
    <comment ref="D1114" authorId="1">
      <text>
        <r>
          <rPr>
            <sz val="11"/>
            <color theme="1"/>
            <rFont val="Calibri"/>
            <family val="2"/>
            <scheme val="minor"/>
          </rPr>
          <t>Seleccione el tipo de procedimiento</t>
        </r>
      </text>
    </comment>
    <comment ref="E1114" authorId="1">
      <text>
        <r>
          <rPr>
            <sz val="11"/>
            <color theme="1"/>
            <rFont val="Calibri"/>
            <family val="2"/>
            <scheme val="minor"/>
          </rPr>
          <t>Seleccione un valor de la lista</t>
        </r>
      </text>
    </comment>
    <comment ref="F1114" authorId="1">
      <text>
        <r>
          <rPr>
            <sz val="11"/>
            <color theme="1"/>
            <rFont val="Calibri"/>
            <family val="2"/>
            <scheme val="minor"/>
          </rPr>
          <t>Introduzca el código SNIP</t>
        </r>
      </text>
    </comment>
    <comment ref="C1115" authorId="1">
      <text>
        <r>
          <rPr>
            <sz val="11"/>
            <color theme="1"/>
            <rFont val="Calibri"/>
            <family val="2"/>
            <scheme val="minor"/>
          </rPr>
          <t>Introduzca la fecha de inicio del proceso, en formato dd-mm-aaaa</t>
        </r>
      </text>
    </comment>
    <comment ref="F111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6" authorId="1">
      <text/>
    </comment>
    <comment ref="C1117" authorId="1">
      <text>
        <r>
          <rPr>
            <sz val="11"/>
            <color theme="1"/>
            <rFont val="Calibri"/>
            <family val="2"/>
            <scheme val="minor"/>
          </rPr>
          <t>Introduzca la fecha prevista de adjudicación, en formato dd-mm-aaaa</t>
        </r>
      </text>
    </comment>
    <comment ref="F1117" authorId="1">
      <text/>
    </comment>
    <comment ref="F1118" authorId="1">
      <text/>
    </comment>
    <comment ref="A1120" authorId="1">
      <text>
        <r>
          <rPr>
            <sz val="11"/>
            <color theme="1"/>
            <rFont val="Calibri"/>
            <family val="2"/>
            <scheme val="minor"/>
          </rPr>
          <t>Introduzca un codigo UNSPSC</t>
        </r>
      </text>
    </comment>
    <comment ref="B1120" authorId="1">
      <text>
        <r>
          <rPr>
            <sz val="11"/>
            <color theme="1"/>
            <rFont val="Calibri"/>
            <family val="2"/>
            <scheme val="minor"/>
          </rPr>
          <t>Descripción calculada automáticamente a partir de código del artículo</t>
        </r>
      </text>
    </comment>
    <comment ref="C1120" authorId="1">
      <text>
        <r>
          <rPr>
            <sz val="11"/>
            <color theme="1"/>
            <rFont val="Calibri"/>
            <family val="2"/>
            <scheme val="minor"/>
          </rPr>
          <t>Seleccione un valor de la lista</t>
        </r>
      </text>
    </comment>
    <comment ref="D1120" authorId="1">
      <text>
        <r>
          <rPr>
            <sz val="11"/>
            <color theme="1"/>
            <rFont val="Calibri"/>
            <family val="2"/>
            <scheme val="minor"/>
          </rPr>
          <t>Introduzca un número con dos decimales como máximo. Debe ser igual o mayor a la "Cantidad Real Consumida"</t>
        </r>
      </text>
    </comment>
    <comment ref="E1120" authorId="1">
      <text>
        <r>
          <rPr>
            <sz val="11"/>
            <color theme="1"/>
            <rFont val="Calibri"/>
            <family val="2"/>
            <scheme val="minor"/>
          </rPr>
          <t>Introduzca un número con dos decimales como máximo</t>
        </r>
      </text>
    </comment>
    <comment ref="F1120" authorId="1">
      <text>
        <r>
          <rPr>
            <sz val="11"/>
            <color theme="1"/>
            <rFont val="Calibri"/>
            <family val="2"/>
            <scheme val="minor"/>
          </rPr>
          <t>Monto calculado automáticamente por el sistema</t>
        </r>
      </text>
    </comment>
    <comment ref="A1125" authorId="1">
      <text>
        <r>
          <rPr>
            <sz val="11"/>
            <color theme="1"/>
            <rFont val="Calibri"/>
            <family val="2"/>
            <scheme val="minor"/>
          </rPr>
          <t>Introducir un texto con el nombre o referencia de la contratación</t>
        </r>
      </text>
    </comment>
    <comment ref="B1125" authorId="1">
      <text>
        <r>
          <rPr>
            <sz val="11"/>
            <color theme="1"/>
            <rFont val="Calibri"/>
            <family val="2"/>
            <scheme val="minor"/>
          </rPr>
          <t>Introduzca un texto con la finalidad de la contratación</t>
        </r>
      </text>
    </comment>
    <comment ref="C1125" authorId="1">
      <text>
        <r>
          <rPr>
            <sz val="11"/>
            <color theme="1"/>
            <rFont val="Calibri"/>
            <family val="2"/>
            <scheme val="minor"/>
          </rPr>
          <t>Seleccionar un valor del listado</t>
        </r>
      </text>
    </comment>
    <comment ref="D1125" authorId="1">
      <text>
        <r>
          <rPr>
            <sz val="11"/>
            <color theme="1"/>
            <rFont val="Calibri"/>
            <family val="2"/>
            <scheme val="minor"/>
          </rPr>
          <t>Seleccione el tipo de procedimiento</t>
        </r>
      </text>
    </comment>
    <comment ref="E1125" authorId="1">
      <text>
        <r>
          <rPr>
            <sz val="11"/>
            <color theme="1"/>
            <rFont val="Calibri"/>
            <family val="2"/>
            <scheme val="minor"/>
          </rPr>
          <t>Seleccione un valor de la lista</t>
        </r>
      </text>
    </comment>
    <comment ref="F1125" authorId="1">
      <text>
        <r>
          <rPr>
            <sz val="11"/>
            <color theme="1"/>
            <rFont val="Calibri"/>
            <family val="2"/>
            <scheme val="minor"/>
          </rPr>
          <t>Introduzca el código SNIP</t>
        </r>
      </text>
    </comment>
    <comment ref="C1126" authorId="1">
      <text>
        <r>
          <rPr>
            <sz val="11"/>
            <color theme="1"/>
            <rFont val="Calibri"/>
            <family val="2"/>
            <scheme val="minor"/>
          </rPr>
          <t>Introduzca la fecha de inicio del proceso, en formato dd-mm-aaaa</t>
        </r>
      </text>
    </comment>
    <comment ref="F112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27" authorId="1">
      <text/>
    </comment>
    <comment ref="C1128" authorId="1">
      <text>
        <r>
          <rPr>
            <sz val="11"/>
            <color theme="1"/>
            <rFont val="Calibri"/>
            <family val="2"/>
            <scheme val="minor"/>
          </rPr>
          <t>Introduzca la fecha prevista de adjudicación, en formato dd-mm-aaaa</t>
        </r>
      </text>
    </comment>
    <comment ref="F1128" authorId="1">
      <text/>
    </comment>
    <comment ref="F1129" authorId="1">
      <text/>
    </comment>
    <comment ref="A1131" authorId="1">
      <text>
        <r>
          <rPr>
            <sz val="11"/>
            <color theme="1"/>
            <rFont val="Calibri"/>
            <family val="2"/>
            <scheme val="minor"/>
          </rPr>
          <t>Introduzca un codigo UNSPSC</t>
        </r>
      </text>
    </comment>
    <comment ref="B1131" authorId="1">
      <text>
        <r>
          <rPr>
            <sz val="11"/>
            <color theme="1"/>
            <rFont val="Calibri"/>
            <family val="2"/>
            <scheme val="minor"/>
          </rPr>
          <t>Descripción calculada automáticamente a partir de código del artículo</t>
        </r>
      </text>
    </comment>
    <comment ref="C1131" authorId="1">
      <text>
        <r>
          <rPr>
            <sz val="11"/>
            <color theme="1"/>
            <rFont val="Calibri"/>
            <family val="2"/>
            <scheme val="minor"/>
          </rPr>
          <t>Seleccione un valor de la lista</t>
        </r>
      </text>
    </comment>
    <comment ref="D1131" authorId="1">
      <text>
        <r>
          <rPr>
            <sz val="11"/>
            <color theme="1"/>
            <rFont val="Calibri"/>
            <family val="2"/>
            <scheme val="minor"/>
          </rPr>
          <t>Introduzca un número con dos decimales como máximo. Debe ser igual o mayor a la "Cantidad Real Consumida"</t>
        </r>
      </text>
    </comment>
    <comment ref="E1131" authorId="1">
      <text>
        <r>
          <rPr>
            <sz val="11"/>
            <color theme="1"/>
            <rFont val="Calibri"/>
            <family val="2"/>
            <scheme val="minor"/>
          </rPr>
          <t>Introduzca un número con dos decimales como máximo</t>
        </r>
      </text>
    </comment>
    <comment ref="F1131" authorId="1">
      <text>
        <r>
          <rPr>
            <sz val="11"/>
            <color theme="1"/>
            <rFont val="Calibri"/>
            <family val="2"/>
            <scheme val="minor"/>
          </rPr>
          <t>Monto calculado automáticamente por el sistema</t>
        </r>
      </text>
    </comment>
    <comment ref="A1137" authorId="1">
      <text>
        <r>
          <rPr>
            <sz val="11"/>
            <color theme="1"/>
            <rFont val="Calibri"/>
            <family val="2"/>
            <scheme val="minor"/>
          </rPr>
          <t>Introducir un texto con el nombre o referencia de la contratación</t>
        </r>
      </text>
    </comment>
    <comment ref="B1137" authorId="1">
      <text>
        <r>
          <rPr>
            <sz val="11"/>
            <color theme="1"/>
            <rFont val="Calibri"/>
            <family val="2"/>
            <scheme val="minor"/>
          </rPr>
          <t>Introduzca un texto con la finalidad de la contratación</t>
        </r>
      </text>
    </comment>
    <comment ref="C1137" authorId="1">
      <text>
        <r>
          <rPr>
            <sz val="11"/>
            <color theme="1"/>
            <rFont val="Calibri"/>
            <family val="2"/>
            <scheme val="minor"/>
          </rPr>
          <t>Seleccionar un valor del listado</t>
        </r>
      </text>
    </comment>
    <comment ref="D1137" authorId="1">
      <text>
        <r>
          <rPr>
            <sz val="11"/>
            <color theme="1"/>
            <rFont val="Calibri"/>
            <family val="2"/>
            <scheme val="minor"/>
          </rPr>
          <t>Seleccione el tipo de procedimiento</t>
        </r>
      </text>
    </comment>
    <comment ref="E1137" authorId="1">
      <text>
        <r>
          <rPr>
            <sz val="11"/>
            <color theme="1"/>
            <rFont val="Calibri"/>
            <family val="2"/>
            <scheme val="minor"/>
          </rPr>
          <t>Seleccione un valor de la lista</t>
        </r>
      </text>
    </comment>
    <comment ref="F1137" authorId="1">
      <text>
        <r>
          <rPr>
            <sz val="11"/>
            <color theme="1"/>
            <rFont val="Calibri"/>
            <family val="2"/>
            <scheme val="minor"/>
          </rPr>
          <t>Introduzca el código SNIP</t>
        </r>
      </text>
    </comment>
    <comment ref="C1138" authorId="1">
      <text>
        <r>
          <rPr>
            <sz val="11"/>
            <color theme="1"/>
            <rFont val="Calibri"/>
            <family val="2"/>
            <scheme val="minor"/>
          </rPr>
          <t>Introduzca la fecha de inicio del proceso, en formato dd-mm-aaaa</t>
        </r>
      </text>
    </comment>
    <comment ref="F113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9" authorId="1">
      <text/>
    </comment>
    <comment ref="C1140" authorId="1">
      <text>
        <r>
          <rPr>
            <sz val="11"/>
            <color theme="1"/>
            <rFont val="Calibri"/>
            <family val="2"/>
            <scheme val="minor"/>
          </rPr>
          <t>Introduzca la fecha prevista de adjudicación, en formato dd-mm-aaaa</t>
        </r>
      </text>
    </comment>
    <comment ref="F1140" authorId="1">
      <text/>
    </comment>
    <comment ref="F1141" authorId="1">
      <text/>
    </comment>
    <comment ref="A1143" authorId="1">
      <text>
        <r>
          <rPr>
            <sz val="11"/>
            <color theme="1"/>
            <rFont val="Calibri"/>
            <family val="2"/>
            <scheme val="minor"/>
          </rPr>
          <t>Introduzca un codigo UNSPSC</t>
        </r>
      </text>
    </comment>
    <comment ref="B1143" authorId="1">
      <text>
        <r>
          <rPr>
            <sz val="11"/>
            <color theme="1"/>
            <rFont val="Calibri"/>
            <family val="2"/>
            <scheme val="minor"/>
          </rPr>
          <t>Descripción calculada automáticamente a partir de código del artículo</t>
        </r>
      </text>
    </comment>
    <comment ref="C1143" authorId="1">
      <text>
        <r>
          <rPr>
            <sz val="11"/>
            <color theme="1"/>
            <rFont val="Calibri"/>
            <family val="2"/>
            <scheme val="minor"/>
          </rPr>
          <t>Seleccione un valor de la lista</t>
        </r>
      </text>
    </comment>
    <comment ref="D1143" authorId="1">
      <text>
        <r>
          <rPr>
            <sz val="11"/>
            <color theme="1"/>
            <rFont val="Calibri"/>
            <family val="2"/>
            <scheme val="minor"/>
          </rPr>
          <t>Introduzca un número con dos decimales como máximo. Debe ser igual o mayor a la "Cantidad Real Consumida"</t>
        </r>
      </text>
    </comment>
    <comment ref="E1143" authorId="1">
      <text>
        <r>
          <rPr>
            <sz val="11"/>
            <color theme="1"/>
            <rFont val="Calibri"/>
            <family val="2"/>
            <scheme val="minor"/>
          </rPr>
          <t>Introduzca un número con dos decimales como máximo</t>
        </r>
      </text>
    </comment>
    <comment ref="F1143" authorId="1">
      <text>
        <r>
          <rPr>
            <sz val="11"/>
            <color theme="1"/>
            <rFont val="Calibri"/>
            <family val="2"/>
            <scheme val="minor"/>
          </rPr>
          <t>Monto calculado automáticamente por el sistema</t>
        </r>
      </text>
    </comment>
    <comment ref="A1150" authorId="1">
      <text>
        <r>
          <rPr>
            <sz val="11"/>
            <color theme="1"/>
            <rFont val="Calibri"/>
            <family val="2"/>
            <scheme val="minor"/>
          </rPr>
          <t>Introducir un texto con el nombre o referencia de la contratación</t>
        </r>
      </text>
    </comment>
    <comment ref="B1150" authorId="1">
      <text>
        <r>
          <rPr>
            <sz val="11"/>
            <color theme="1"/>
            <rFont val="Calibri"/>
            <family val="2"/>
            <scheme val="minor"/>
          </rPr>
          <t>Introduzca un texto con la finalidad de la contratación</t>
        </r>
      </text>
    </comment>
    <comment ref="C1150" authorId="1">
      <text>
        <r>
          <rPr>
            <sz val="11"/>
            <color theme="1"/>
            <rFont val="Calibri"/>
            <family val="2"/>
            <scheme val="minor"/>
          </rPr>
          <t>Seleccionar un valor del listado</t>
        </r>
      </text>
    </comment>
    <comment ref="D1150" authorId="1">
      <text>
        <r>
          <rPr>
            <sz val="11"/>
            <color theme="1"/>
            <rFont val="Calibri"/>
            <family val="2"/>
            <scheme val="minor"/>
          </rPr>
          <t>Seleccione el tipo de procedimiento</t>
        </r>
      </text>
    </comment>
    <comment ref="E1150" authorId="1">
      <text>
        <r>
          <rPr>
            <sz val="11"/>
            <color theme="1"/>
            <rFont val="Calibri"/>
            <family val="2"/>
            <scheme val="minor"/>
          </rPr>
          <t>Seleccione un valor de la lista</t>
        </r>
      </text>
    </comment>
    <comment ref="F1150" authorId="1">
      <text>
        <r>
          <rPr>
            <sz val="11"/>
            <color theme="1"/>
            <rFont val="Calibri"/>
            <family val="2"/>
            <scheme val="minor"/>
          </rPr>
          <t>Introduzca el código SNIP</t>
        </r>
      </text>
    </comment>
    <comment ref="C1151" authorId="1">
      <text>
        <r>
          <rPr>
            <sz val="11"/>
            <color theme="1"/>
            <rFont val="Calibri"/>
            <family val="2"/>
            <scheme val="minor"/>
          </rPr>
          <t>Introduzca la fecha de inicio del proceso, en formato dd-mm-aaaa</t>
        </r>
      </text>
    </comment>
    <comment ref="F115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2" authorId="1">
      <text/>
    </comment>
    <comment ref="C1153" authorId="1">
      <text>
        <r>
          <rPr>
            <sz val="11"/>
            <color theme="1"/>
            <rFont val="Calibri"/>
            <family val="2"/>
            <scheme val="minor"/>
          </rPr>
          <t>Introduzca la fecha prevista de adjudicación, en formato dd-mm-aaaa</t>
        </r>
      </text>
    </comment>
    <comment ref="F1153" authorId="1">
      <text/>
    </comment>
    <comment ref="F1154" authorId="1">
      <text/>
    </comment>
    <comment ref="A1156" authorId="1">
      <text>
        <r>
          <rPr>
            <sz val="11"/>
            <color theme="1"/>
            <rFont val="Calibri"/>
            <family val="2"/>
            <scheme val="minor"/>
          </rPr>
          <t>Introduzca un codigo UNSPSC</t>
        </r>
      </text>
    </comment>
    <comment ref="B1156" authorId="1">
      <text>
        <r>
          <rPr>
            <sz val="11"/>
            <color theme="1"/>
            <rFont val="Calibri"/>
            <family val="2"/>
            <scheme val="minor"/>
          </rPr>
          <t>Descripción calculada automáticamente a partir de código del artículo</t>
        </r>
      </text>
    </comment>
    <comment ref="C1156" authorId="1">
      <text>
        <r>
          <rPr>
            <sz val="11"/>
            <color theme="1"/>
            <rFont val="Calibri"/>
            <family val="2"/>
            <scheme val="minor"/>
          </rPr>
          <t>Seleccione un valor de la lista</t>
        </r>
      </text>
    </comment>
    <comment ref="D1156" authorId="1">
      <text>
        <r>
          <rPr>
            <sz val="11"/>
            <color theme="1"/>
            <rFont val="Calibri"/>
            <family val="2"/>
            <scheme val="minor"/>
          </rPr>
          <t>Introduzca un número con dos decimales como máximo. Debe ser igual o mayor a la "Cantidad Real Consumida"</t>
        </r>
      </text>
    </comment>
    <comment ref="E1156" authorId="1">
      <text>
        <r>
          <rPr>
            <sz val="11"/>
            <color theme="1"/>
            <rFont val="Calibri"/>
            <family val="2"/>
            <scheme val="minor"/>
          </rPr>
          <t>Introduzca un número con dos decimales como máximo</t>
        </r>
      </text>
    </comment>
    <comment ref="F1156" authorId="1">
      <text>
        <r>
          <rPr>
            <sz val="11"/>
            <color theme="1"/>
            <rFont val="Calibri"/>
            <family val="2"/>
            <scheme val="minor"/>
          </rPr>
          <t>Monto calculado automáticamente por el sistema</t>
        </r>
      </text>
    </comment>
    <comment ref="A1173" authorId="1">
      <text>
        <r>
          <rPr>
            <sz val="11"/>
            <color theme="1"/>
            <rFont val="Calibri"/>
            <family val="2"/>
            <scheme val="minor"/>
          </rPr>
          <t>Introducir un texto con el nombre o referencia de la contratación</t>
        </r>
      </text>
    </comment>
    <comment ref="B1173" authorId="1">
      <text>
        <r>
          <rPr>
            <sz val="11"/>
            <color theme="1"/>
            <rFont val="Calibri"/>
            <family val="2"/>
            <scheme val="minor"/>
          </rPr>
          <t>Introduzca un texto con la finalidad de la contratación</t>
        </r>
      </text>
    </comment>
    <comment ref="C1173" authorId="1">
      <text>
        <r>
          <rPr>
            <sz val="11"/>
            <color theme="1"/>
            <rFont val="Calibri"/>
            <family val="2"/>
            <scheme val="minor"/>
          </rPr>
          <t>Seleccionar un valor del listado</t>
        </r>
      </text>
    </comment>
    <comment ref="D1173" authorId="1">
      <text>
        <r>
          <rPr>
            <sz val="11"/>
            <color theme="1"/>
            <rFont val="Calibri"/>
            <family val="2"/>
            <scheme val="minor"/>
          </rPr>
          <t>Seleccione el tipo de procedimiento</t>
        </r>
      </text>
    </comment>
    <comment ref="E1173" authorId="1">
      <text>
        <r>
          <rPr>
            <sz val="11"/>
            <color theme="1"/>
            <rFont val="Calibri"/>
            <family val="2"/>
            <scheme val="minor"/>
          </rPr>
          <t>Seleccione un valor de la lista</t>
        </r>
      </text>
    </comment>
    <comment ref="F1173" authorId="1">
      <text>
        <r>
          <rPr>
            <sz val="11"/>
            <color theme="1"/>
            <rFont val="Calibri"/>
            <family val="2"/>
            <scheme val="minor"/>
          </rPr>
          <t>Introduzca el código SNIP</t>
        </r>
      </text>
    </comment>
    <comment ref="C1174" authorId="1">
      <text>
        <r>
          <rPr>
            <sz val="11"/>
            <color theme="1"/>
            <rFont val="Calibri"/>
            <family val="2"/>
            <scheme val="minor"/>
          </rPr>
          <t>Introduzca la fecha de inicio del proceso, en formato dd-mm-aaaa</t>
        </r>
      </text>
    </comment>
    <comment ref="F117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5" authorId="1">
      <text/>
    </comment>
    <comment ref="C1176" authorId="1">
      <text>
        <r>
          <rPr>
            <sz val="11"/>
            <color theme="1"/>
            <rFont val="Calibri"/>
            <family val="2"/>
            <scheme val="minor"/>
          </rPr>
          <t>Introduzca la fecha prevista de adjudicación, en formato dd-mm-aaaa</t>
        </r>
      </text>
    </comment>
    <comment ref="F1176" authorId="1">
      <text/>
    </comment>
    <comment ref="F1177" authorId="1">
      <text/>
    </comment>
    <comment ref="A1179" authorId="1">
      <text>
        <r>
          <rPr>
            <sz val="11"/>
            <color theme="1"/>
            <rFont val="Calibri"/>
            <family val="2"/>
            <scheme val="minor"/>
          </rPr>
          <t>Introduzca un codigo UNSPSC</t>
        </r>
      </text>
    </comment>
    <comment ref="B1179" authorId="1">
      <text>
        <r>
          <rPr>
            <sz val="11"/>
            <color theme="1"/>
            <rFont val="Calibri"/>
            <family val="2"/>
            <scheme val="minor"/>
          </rPr>
          <t>Descripción calculada automáticamente a partir de código del artículo</t>
        </r>
      </text>
    </comment>
    <comment ref="C1179" authorId="1">
      <text>
        <r>
          <rPr>
            <sz val="11"/>
            <color theme="1"/>
            <rFont val="Calibri"/>
            <family val="2"/>
            <scheme val="minor"/>
          </rPr>
          <t>Seleccione un valor de la lista</t>
        </r>
      </text>
    </comment>
    <comment ref="D1179" authorId="1">
      <text>
        <r>
          <rPr>
            <sz val="11"/>
            <color theme="1"/>
            <rFont val="Calibri"/>
            <family val="2"/>
            <scheme val="minor"/>
          </rPr>
          <t>Introduzca un número con dos decimales como máximo. Debe ser igual o mayor a la "Cantidad Real Consumida"</t>
        </r>
      </text>
    </comment>
    <comment ref="E1179" authorId="1">
      <text>
        <r>
          <rPr>
            <sz val="11"/>
            <color theme="1"/>
            <rFont val="Calibri"/>
            <family val="2"/>
            <scheme val="minor"/>
          </rPr>
          <t>Introduzca un número con dos decimales como máximo</t>
        </r>
      </text>
    </comment>
    <comment ref="F1179" authorId="1">
      <text>
        <r>
          <rPr>
            <sz val="11"/>
            <color theme="1"/>
            <rFont val="Calibri"/>
            <family val="2"/>
            <scheme val="minor"/>
          </rPr>
          <t>Monto calculado automáticamente por el sistema</t>
        </r>
      </text>
    </comment>
    <comment ref="A1198" authorId="1">
      <text>
        <r>
          <rPr>
            <sz val="11"/>
            <color theme="1"/>
            <rFont val="Calibri"/>
            <family val="2"/>
            <scheme val="minor"/>
          </rPr>
          <t>Introducir un texto con el nombre o referencia de la contratación</t>
        </r>
      </text>
    </comment>
    <comment ref="B1198" authorId="1">
      <text>
        <r>
          <rPr>
            <sz val="11"/>
            <color theme="1"/>
            <rFont val="Calibri"/>
            <family val="2"/>
            <scheme val="minor"/>
          </rPr>
          <t>Introduzca un texto con la finalidad de la contratación</t>
        </r>
      </text>
    </comment>
    <comment ref="C1198" authorId="1">
      <text>
        <r>
          <rPr>
            <sz val="11"/>
            <color theme="1"/>
            <rFont val="Calibri"/>
            <family val="2"/>
            <scheme val="minor"/>
          </rPr>
          <t>Seleccionar un valor del listado</t>
        </r>
      </text>
    </comment>
    <comment ref="D1198" authorId="1">
      <text>
        <r>
          <rPr>
            <sz val="11"/>
            <color theme="1"/>
            <rFont val="Calibri"/>
            <family val="2"/>
            <scheme val="minor"/>
          </rPr>
          <t>Seleccione el tipo de procedimiento</t>
        </r>
      </text>
    </comment>
    <comment ref="E1198" authorId="1">
      <text>
        <r>
          <rPr>
            <sz val="11"/>
            <color theme="1"/>
            <rFont val="Calibri"/>
            <family val="2"/>
            <scheme val="minor"/>
          </rPr>
          <t>Seleccione un valor de la lista</t>
        </r>
      </text>
    </comment>
    <comment ref="F1198" authorId="1">
      <text>
        <r>
          <rPr>
            <sz val="11"/>
            <color theme="1"/>
            <rFont val="Calibri"/>
            <family val="2"/>
            <scheme val="minor"/>
          </rPr>
          <t>Introduzca el código SNIP</t>
        </r>
      </text>
    </comment>
    <comment ref="C1199" authorId="1">
      <text>
        <r>
          <rPr>
            <sz val="11"/>
            <color theme="1"/>
            <rFont val="Calibri"/>
            <family val="2"/>
            <scheme val="minor"/>
          </rPr>
          <t>Introduzca la fecha de inicio del proceso, en formato dd-mm-aaaa</t>
        </r>
      </text>
    </comment>
    <comment ref="F119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00" authorId="1">
      <text/>
    </comment>
    <comment ref="C1201" authorId="1">
      <text>
        <r>
          <rPr>
            <sz val="11"/>
            <color theme="1"/>
            <rFont val="Calibri"/>
            <family val="2"/>
            <scheme val="minor"/>
          </rPr>
          <t>Introduzca la fecha prevista de adjudicación, en formato dd-mm-aaaa</t>
        </r>
      </text>
    </comment>
    <comment ref="F1201" authorId="1">
      <text/>
    </comment>
    <comment ref="F1202" authorId="1">
      <text/>
    </comment>
    <comment ref="A1204" authorId="1">
      <text>
        <r>
          <rPr>
            <sz val="11"/>
            <color theme="1"/>
            <rFont val="Calibri"/>
            <family val="2"/>
            <scheme val="minor"/>
          </rPr>
          <t>Introduzca un codigo UNSPSC</t>
        </r>
      </text>
    </comment>
    <comment ref="B1204" authorId="1">
      <text>
        <r>
          <rPr>
            <sz val="11"/>
            <color theme="1"/>
            <rFont val="Calibri"/>
            <family val="2"/>
            <scheme val="minor"/>
          </rPr>
          <t>Descripción calculada automáticamente a partir de código del artículo</t>
        </r>
      </text>
    </comment>
    <comment ref="C1204" authorId="1">
      <text>
        <r>
          <rPr>
            <sz val="11"/>
            <color theme="1"/>
            <rFont val="Calibri"/>
            <family val="2"/>
            <scheme val="minor"/>
          </rPr>
          <t>Seleccione un valor de la lista</t>
        </r>
      </text>
    </comment>
    <comment ref="D1204" authorId="1">
      <text>
        <r>
          <rPr>
            <sz val="11"/>
            <color theme="1"/>
            <rFont val="Calibri"/>
            <family val="2"/>
            <scheme val="minor"/>
          </rPr>
          <t>Introduzca un número con dos decimales como máximo. Debe ser igual o mayor a la "Cantidad Real Consumida"</t>
        </r>
      </text>
    </comment>
    <comment ref="E1204" authorId="1">
      <text>
        <r>
          <rPr>
            <sz val="11"/>
            <color theme="1"/>
            <rFont val="Calibri"/>
            <family val="2"/>
            <scheme val="minor"/>
          </rPr>
          <t>Introduzca un número con dos decimales como máximo</t>
        </r>
      </text>
    </comment>
    <comment ref="F1204" authorId="1">
      <text>
        <r>
          <rPr>
            <sz val="11"/>
            <color theme="1"/>
            <rFont val="Calibri"/>
            <family val="2"/>
            <scheme val="minor"/>
          </rPr>
          <t>Monto calculado automáticamente por el sistema</t>
        </r>
      </text>
    </comment>
    <comment ref="A1215" authorId="2">
      <text>
        <r>
          <rPr>
            <sz val="11"/>
            <color theme="1"/>
            <rFont val="Calibri"/>
            <family val="2"/>
            <scheme val="minor"/>
          </rPr>
          <t>Introducir un texto con el nombre o referencia de la contratación</t>
        </r>
      </text>
    </comment>
    <comment ref="B1215" authorId="2">
      <text>
        <r>
          <rPr>
            <sz val="11"/>
            <color theme="1"/>
            <rFont val="Calibri"/>
            <family val="2"/>
            <scheme val="minor"/>
          </rPr>
          <t>Introduzca un texto con la finalidad de la contratación</t>
        </r>
      </text>
    </comment>
    <comment ref="C1215" authorId="2">
      <text>
        <r>
          <rPr>
            <sz val="11"/>
            <color theme="1"/>
            <rFont val="Calibri"/>
            <family val="2"/>
            <scheme val="minor"/>
          </rPr>
          <t>Seleccionar un valor del listado</t>
        </r>
      </text>
    </comment>
    <comment ref="D1215" authorId="1">
      <text>
        <r>
          <rPr>
            <sz val="11"/>
            <color theme="1"/>
            <rFont val="Calibri"/>
            <family val="2"/>
            <scheme val="minor"/>
          </rPr>
          <t>Seleccione el tipo de procedimiento</t>
        </r>
      </text>
    </comment>
    <comment ref="E1215" authorId="2">
      <text>
        <r>
          <rPr>
            <sz val="11"/>
            <color theme="1"/>
            <rFont val="Calibri"/>
            <family val="2"/>
            <scheme val="minor"/>
          </rPr>
          <t>Seleccione un valor de la lista</t>
        </r>
      </text>
    </comment>
    <comment ref="F1215" authorId="2">
      <text>
        <r>
          <rPr>
            <sz val="11"/>
            <color theme="1"/>
            <rFont val="Calibri"/>
            <family val="2"/>
            <scheme val="minor"/>
          </rPr>
          <t>Introduzca el código SNIP</t>
        </r>
      </text>
    </comment>
    <comment ref="C1216" authorId="2">
      <text>
        <r>
          <rPr>
            <sz val="11"/>
            <color theme="1"/>
            <rFont val="Calibri"/>
            <family val="2"/>
            <scheme val="minor"/>
          </rPr>
          <t>Introduzca la fecha de inicio del proceso, en formato dd-mm-aaaa</t>
        </r>
      </text>
    </comment>
    <comment ref="F121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7" authorId="2">
      <text/>
    </comment>
    <comment ref="C1218" authorId="2">
      <text>
        <r>
          <rPr>
            <sz val="11"/>
            <color theme="1"/>
            <rFont val="Calibri"/>
            <family val="2"/>
            <scheme val="minor"/>
          </rPr>
          <t>Introduzca la fecha prevista de adjudicación, en formato dd-mm-aaaa</t>
        </r>
      </text>
    </comment>
    <comment ref="F1218" authorId="2">
      <text/>
    </comment>
    <comment ref="F1219" authorId="2">
      <text/>
    </comment>
    <comment ref="A1221" authorId="2">
      <text>
        <r>
          <rPr>
            <sz val="11"/>
            <color theme="1"/>
            <rFont val="Calibri"/>
            <family val="2"/>
            <scheme val="minor"/>
          </rPr>
          <t>Introduzca un codigo UNSPSC</t>
        </r>
      </text>
    </comment>
    <comment ref="B1221" authorId="2">
      <text>
        <r>
          <rPr>
            <sz val="11"/>
            <color theme="1"/>
            <rFont val="Calibri"/>
            <family val="2"/>
            <scheme val="minor"/>
          </rPr>
          <t>Descripción calculada automáticamente a partir de código del artículo</t>
        </r>
      </text>
    </comment>
    <comment ref="C1221" authorId="2">
      <text>
        <r>
          <rPr>
            <sz val="11"/>
            <color theme="1"/>
            <rFont val="Calibri"/>
            <family val="2"/>
            <scheme val="minor"/>
          </rPr>
          <t>Seleccione un valor de la lista</t>
        </r>
      </text>
    </comment>
    <comment ref="D1221" authorId="2">
      <text>
        <r>
          <rPr>
            <sz val="11"/>
            <color theme="1"/>
            <rFont val="Calibri"/>
            <family val="2"/>
            <scheme val="minor"/>
          </rPr>
          <t>Introduzca un número con dos decimales como máximo. Debe ser igual o mayor a la "Cantidad Real Consumida"</t>
        </r>
      </text>
    </comment>
    <comment ref="E1221" authorId="2">
      <text>
        <r>
          <rPr>
            <sz val="11"/>
            <color theme="1"/>
            <rFont val="Calibri"/>
            <family val="2"/>
            <scheme val="minor"/>
          </rPr>
          <t>Introduzca un número con dos decimales como máximo</t>
        </r>
      </text>
    </comment>
    <comment ref="F1221" authorId="2">
      <text>
        <r>
          <rPr>
            <sz val="11"/>
            <color theme="1"/>
            <rFont val="Calibri"/>
            <family val="2"/>
            <scheme val="minor"/>
          </rPr>
          <t>Monto calculado automáticamente por el sistema</t>
        </r>
      </text>
    </comment>
    <comment ref="A1229" authorId="2">
      <text>
        <r>
          <rPr>
            <sz val="11"/>
            <color theme="1"/>
            <rFont val="Calibri"/>
            <family val="2"/>
            <scheme val="minor"/>
          </rPr>
          <t>Introducir un texto con el nombre o referencia de la contratación</t>
        </r>
      </text>
    </comment>
    <comment ref="B1229" authorId="2">
      <text>
        <r>
          <rPr>
            <sz val="11"/>
            <color theme="1"/>
            <rFont val="Calibri"/>
            <family val="2"/>
            <scheme val="minor"/>
          </rPr>
          <t>Introduzca un texto con la finalidad de la contratación</t>
        </r>
      </text>
    </comment>
    <comment ref="C1229" authorId="2">
      <text>
        <r>
          <rPr>
            <sz val="11"/>
            <color theme="1"/>
            <rFont val="Calibri"/>
            <family val="2"/>
            <scheme val="minor"/>
          </rPr>
          <t>Seleccionar un valor del listado</t>
        </r>
      </text>
    </comment>
    <comment ref="D1229" authorId="1">
      <text>
        <r>
          <rPr>
            <sz val="11"/>
            <color theme="1"/>
            <rFont val="Calibri"/>
            <family val="2"/>
            <scheme val="minor"/>
          </rPr>
          <t>Seleccione el tipo de procedimiento</t>
        </r>
      </text>
    </comment>
    <comment ref="E1229" authorId="2">
      <text>
        <r>
          <rPr>
            <sz val="11"/>
            <color theme="1"/>
            <rFont val="Calibri"/>
            <family val="2"/>
            <scheme val="minor"/>
          </rPr>
          <t>Seleccione un valor de la lista</t>
        </r>
      </text>
    </comment>
    <comment ref="F1229" authorId="2">
      <text>
        <r>
          <rPr>
            <sz val="11"/>
            <color theme="1"/>
            <rFont val="Calibri"/>
            <family val="2"/>
            <scheme val="minor"/>
          </rPr>
          <t>Introduzca el código SNIP</t>
        </r>
      </text>
    </comment>
    <comment ref="C1230" authorId="2">
      <text>
        <r>
          <rPr>
            <sz val="11"/>
            <color theme="1"/>
            <rFont val="Calibri"/>
            <family val="2"/>
            <scheme val="minor"/>
          </rPr>
          <t>Introduzca la fecha de inicio del proceso, en formato dd-mm-aaaa</t>
        </r>
      </text>
    </comment>
    <comment ref="F123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31" authorId="2">
      <text/>
    </comment>
    <comment ref="C1232" authorId="2">
      <text>
        <r>
          <rPr>
            <sz val="11"/>
            <color theme="1"/>
            <rFont val="Calibri"/>
            <family val="2"/>
            <scheme val="minor"/>
          </rPr>
          <t>Introduzca la fecha prevista de adjudicación, en formato dd-mm-aaaa</t>
        </r>
      </text>
    </comment>
    <comment ref="F1232" authorId="2">
      <text/>
    </comment>
    <comment ref="F1233" authorId="2">
      <text/>
    </comment>
    <comment ref="A1235" authorId="2">
      <text>
        <r>
          <rPr>
            <sz val="11"/>
            <color theme="1"/>
            <rFont val="Calibri"/>
            <family val="2"/>
            <scheme val="minor"/>
          </rPr>
          <t>Introduzca un codigo UNSPSC</t>
        </r>
      </text>
    </comment>
    <comment ref="B1235" authorId="2">
      <text>
        <r>
          <rPr>
            <sz val="11"/>
            <color theme="1"/>
            <rFont val="Calibri"/>
            <family val="2"/>
            <scheme val="minor"/>
          </rPr>
          <t>Descripción calculada automáticamente a partir de código del artículo</t>
        </r>
      </text>
    </comment>
    <comment ref="C1235" authorId="2">
      <text>
        <r>
          <rPr>
            <sz val="11"/>
            <color theme="1"/>
            <rFont val="Calibri"/>
            <family val="2"/>
            <scheme val="minor"/>
          </rPr>
          <t>Seleccione un valor de la lista</t>
        </r>
      </text>
    </comment>
    <comment ref="D1235" authorId="2">
      <text>
        <r>
          <rPr>
            <sz val="11"/>
            <color theme="1"/>
            <rFont val="Calibri"/>
            <family val="2"/>
            <scheme val="minor"/>
          </rPr>
          <t>Introduzca un número con dos decimales como máximo. Debe ser igual o mayor a la "Cantidad Real Consumida"</t>
        </r>
      </text>
    </comment>
    <comment ref="E1235" authorId="2">
      <text>
        <r>
          <rPr>
            <sz val="11"/>
            <color theme="1"/>
            <rFont val="Calibri"/>
            <family val="2"/>
            <scheme val="minor"/>
          </rPr>
          <t>Introduzca un número con dos decimales como máximo</t>
        </r>
      </text>
    </comment>
    <comment ref="F1235" authorId="2">
      <text>
        <r>
          <rPr>
            <sz val="11"/>
            <color theme="1"/>
            <rFont val="Calibri"/>
            <family val="2"/>
            <scheme val="minor"/>
          </rPr>
          <t>Monto calculado automáticamente por el sistema</t>
        </r>
      </text>
    </comment>
    <comment ref="A1243" authorId="2">
      <text>
        <r>
          <rPr>
            <sz val="11"/>
            <color theme="1"/>
            <rFont val="Calibri"/>
            <family val="2"/>
            <scheme val="minor"/>
          </rPr>
          <t>Introducir un texto con el nombre o referencia de la contratación</t>
        </r>
      </text>
    </comment>
    <comment ref="B1243" authorId="2">
      <text>
        <r>
          <rPr>
            <sz val="11"/>
            <color theme="1"/>
            <rFont val="Calibri"/>
            <family val="2"/>
            <scheme val="minor"/>
          </rPr>
          <t>Introduzca un texto con la finalidad de la contratación</t>
        </r>
      </text>
    </comment>
    <comment ref="C1243" authorId="2">
      <text>
        <r>
          <rPr>
            <sz val="11"/>
            <color theme="1"/>
            <rFont val="Calibri"/>
            <family val="2"/>
            <scheme val="minor"/>
          </rPr>
          <t>Seleccionar un valor del listado</t>
        </r>
      </text>
    </comment>
    <comment ref="D1243" authorId="1">
      <text>
        <r>
          <rPr>
            <sz val="11"/>
            <color theme="1"/>
            <rFont val="Calibri"/>
            <family val="2"/>
            <scheme val="minor"/>
          </rPr>
          <t>Seleccione el tipo de procedimiento</t>
        </r>
      </text>
    </comment>
    <comment ref="E1243" authorId="1">
      <text>
        <r>
          <rPr>
            <sz val="11"/>
            <color theme="1"/>
            <rFont val="Calibri"/>
            <family val="2"/>
            <scheme val="minor"/>
          </rPr>
          <t>Seleccione un valor de la lista</t>
        </r>
      </text>
    </comment>
    <comment ref="F1243" authorId="2">
      <text>
        <r>
          <rPr>
            <sz val="11"/>
            <color theme="1"/>
            <rFont val="Calibri"/>
            <family val="2"/>
            <scheme val="minor"/>
          </rPr>
          <t>Introduzca el código SNIP</t>
        </r>
      </text>
    </comment>
    <comment ref="C1244" authorId="2">
      <text>
        <r>
          <rPr>
            <sz val="11"/>
            <color theme="1"/>
            <rFont val="Calibri"/>
            <family val="2"/>
            <scheme val="minor"/>
          </rPr>
          <t>Introduzca la fecha de inicio del proceso, en formato dd-mm-aaaa</t>
        </r>
      </text>
    </comment>
    <comment ref="F124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45" authorId="2">
      <text/>
    </comment>
    <comment ref="C1246" authorId="2">
      <text>
        <r>
          <rPr>
            <sz val="11"/>
            <color theme="1"/>
            <rFont val="Calibri"/>
            <family val="2"/>
            <scheme val="minor"/>
          </rPr>
          <t>Introduzca la fecha prevista de adjudicación, en formato dd-mm-aaaa</t>
        </r>
      </text>
    </comment>
    <comment ref="F1246" authorId="2">
      <text/>
    </comment>
    <comment ref="F1247" authorId="2">
      <text/>
    </comment>
    <comment ref="A1249" authorId="2">
      <text>
        <r>
          <rPr>
            <sz val="11"/>
            <color theme="1"/>
            <rFont val="Calibri"/>
            <family val="2"/>
            <scheme val="minor"/>
          </rPr>
          <t>Introduzca un codigo UNSPSC</t>
        </r>
      </text>
    </comment>
    <comment ref="B1249" authorId="2">
      <text>
        <r>
          <rPr>
            <sz val="11"/>
            <color theme="1"/>
            <rFont val="Calibri"/>
            <family val="2"/>
            <scheme val="minor"/>
          </rPr>
          <t>Descripción calculada automáticamente a partir de código del artículo</t>
        </r>
      </text>
    </comment>
    <comment ref="C1249" authorId="2">
      <text>
        <r>
          <rPr>
            <sz val="11"/>
            <color theme="1"/>
            <rFont val="Calibri"/>
            <family val="2"/>
            <scheme val="minor"/>
          </rPr>
          <t>Seleccione un valor de la lista</t>
        </r>
      </text>
    </comment>
    <comment ref="D1249" authorId="2">
      <text>
        <r>
          <rPr>
            <sz val="11"/>
            <color theme="1"/>
            <rFont val="Calibri"/>
            <family val="2"/>
            <scheme val="minor"/>
          </rPr>
          <t>Introduzca un número con dos decimales como máximo. Debe ser igual o mayor a la "Cantidad Real Consumida"</t>
        </r>
      </text>
    </comment>
    <comment ref="E1249" authorId="2">
      <text>
        <r>
          <rPr>
            <sz val="11"/>
            <color theme="1"/>
            <rFont val="Calibri"/>
            <family val="2"/>
            <scheme val="minor"/>
          </rPr>
          <t>Introduzca un número con dos decimales como máximo</t>
        </r>
      </text>
    </comment>
    <comment ref="F1249" authorId="2">
      <text>
        <r>
          <rPr>
            <sz val="11"/>
            <color theme="1"/>
            <rFont val="Calibri"/>
            <family val="2"/>
            <scheme val="minor"/>
          </rPr>
          <t>Monto calculado automáticamente por el sistema</t>
        </r>
      </text>
    </comment>
    <comment ref="A1254" authorId="2">
      <text>
        <r>
          <rPr>
            <sz val="11"/>
            <color theme="1"/>
            <rFont val="Calibri"/>
            <family val="2"/>
            <scheme val="minor"/>
          </rPr>
          <t>Introducir un texto con el nombre o referencia de la contratación</t>
        </r>
      </text>
    </comment>
    <comment ref="B1254" authorId="2">
      <text>
        <r>
          <rPr>
            <sz val="11"/>
            <color theme="1"/>
            <rFont val="Calibri"/>
            <family val="2"/>
            <scheme val="minor"/>
          </rPr>
          <t>Introduzca un texto con la finalidad de la contratación</t>
        </r>
      </text>
    </comment>
    <comment ref="C1254" authorId="2">
      <text>
        <r>
          <rPr>
            <sz val="11"/>
            <color theme="1"/>
            <rFont val="Calibri"/>
            <family val="2"/>
            <scheme val="minor"/>
          </rPr>
          <t>Seleccionar un valor del listado</t>
        </r>
      </text>
    </comment>
    <comment ref="D1254" authorId="1">
      <text>
        <r>
          <rPr>
            <sz val="11"/>
            <color theme="1"/>
            <rFont val="Calibri"/>
            <family val="2"/>
            <scheme val="minor"/>
          </rPr>
          <t>Seleccione el tipo de procedimiento</t>
        </r>
      </text>
    </comment>
    <comment ref="E1254" authorId="1">
      <text>
        <r>
          <rPr>
            <sz val="11"/>
            <color theme="1"/>
            <rFont val="Calibri"/>
            <family val="2"/>
            <scheme val="minor"/>
          </rPr>
          <t>Seleccione un valor de la lista</t>
        </r>
      </text>
    </comment>
    <comment ref="F1254" authorId="2">
      <text>
        <r>
          <rPr>
            <sz val="11"/>
            <color theme="1"/>
            <rFont val="Calibri"/>
            <family val="2"/>
            <scheme val="minor"/>
          </rPr>
          <t>Introduzca el código SNIP</t>
        </r>
      </text>
    </comment>
    <comment ref="C1255" authorId="2">
      <text>
        <r>
          <rPr>
            <sz val="11"/>
            <color theme="1"/>
            <rFont val="Calibri"/>
            <family val="2"/>
            <scheme val="minor"/>
          </rPr>
          <t>Introduzca la fecha de inicio del proceso, en formato dd-mm-aaaa</t>
        </r>
      </text>
    </comment>
    <comment ref="F125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56" authorId="2">
      <text/>
    </comment>
    <comment ref="C1257" authorId="2">
      <text>
        <r>
          <rPr>
            <sz val="11"/>
            <color theme="1"/>
            <rFont val="Calibri"/>
            <family val="2"/>
            <scheme val="minor"/>
          </rPr>
          <t>Introduzca la fecha prevista de adjudicación, en formato dd-mm-aaaa</t>
        </r>
      </text>
    </comment>
    <comment ref="F1257" authorId="2">
      <text/>
    </comment>
    <comment ref="F1258" authorId="2">
      <text/>
    </comment>
    <comment ref="A1260" authorId="2">
      <text>
        <r>
          <rPr>
            <sz val="11"/>
            <color theme="1"/>
            <rFont val="Calibri"/>
            <family val="2"/>
            <scheme val="minor"/>
          </rPr>
          <t>Introduzca un codigo UNSPSC</t>
        </r>
      </text>
    </comment>
    <comment ref="B1260" authorId="2">
      <text>
        <r>
          <rPr>
            <sz val="11"/>
            <color theme="1"/>
            <rFont val="Calibri"/>
            <family val="2"/>
            <scheme val="minor"/>
          </rPr>
          <t>Descripción calculada automáticamente a partir de código del artículo</t>
        </r>
      </text>
    </comment>
    <comment ref="C1260" authorId="2">
      <text>
        <r>
          <rPr>
            <sz val="11"/>
            <color theme="1"/>
            <rFont val="Calibri"/>
            <family val="2"/>
            <scheme val="minor"/>
          </rPr>
          <t>Seleccione un valor de la lista</t>
        </r>
      </text>
    </comment>
    <comment ref="D1260" authorId="2">
      <text>
        <r>
          <rPr>
            <sz val="11"/>
            <color theme="1"/>
            <rFont val="Calibri"/>
            <family val="2"/>
            <scheme val="minor"/>
          </rPr>
          <t>Introduzca un número con dos decimales como máximo. Debe ser igual o mayor a la "Cantidad Real Consumida"</t>
        </r>
      </text>
    </comment>
    <comment ref="E1260" authorId="2">
      <text>
        <r>
          <rPr>
            <sz val="11"/>
            <color theme="1"/>
            <rFont val="Calibri"/>
            <family val="2"/>
            <scheme val="minor"/>
          </rPr>
          <t>Introduzca un número con dos decimales como máximo</t>
        </r>
      </text>
    </comment>
    <comment ref="F1260" authorId="2">
      <text>
        <r>
          <rPr>
            <sz val="11"/>
            <color theme="1"/>
            <rFont val="Calibri"/>
            <family val="2"/>
            <scheme val="minor"/>
          </rPr>
          <t>Monto calculado automáticamente por el sistema</t>
        </r>
      </text>
    </comment>
    <comment ref="A1265" authorId="2">
      <text>
        <r>
          <rPr>
            <sz val="11"/>
            <color theme="1"/>
            <rFont val="Calibri"/>
            <family val="2"/>
            <scheme val="minor"/>
          </rPr>
          <t>Introducir un texto con el nombre o referencia de la contratación</t>
        </r>
      </text>
    </comment>
    <comment ref="B1265" authorId="2">
      <text>
        <r>
          <rPr>
            <sz val="11"/>
            <color theme="1"/>
            <rFont val="Calibri"/>
            <family val="2"/>
            <scheme val="minor"/>
          </rPr>
          <t>Introduzca un texto con la finalidad de la contratación</t>
        </r>
      </text>
    </comment>
    <comment ref="C1265" authorId="2">
      <text>
        <r>
          <rPr>
            <sz val="11"/>
            <color theme="1"/>
            <rFont val="Calibri"/>
            <family val="2"/>
            <scheme val="minor"/>
          </rPr>
          <t>Seleccionar un valor del listado</t>
        </r>
      </text>
    </comment>
    <comment ref="D1265" authorId="1">
      <text>
        <r>
          <rPr>
            <sz val="11"/>
            <color theme="1"/>
            <rFont val="Calibri"/>
            <family val="2"/>
            <scheme val="minor"/>
          </rPr>
          <t>Seleccione el tipo de procedimiento</t>
        </r>
      </text>
    </comment>
    <comment ref="E1265" authorId="1">
      <text>
        <r>
          <rPr>
            <sz val="11"/>
            <color theme="1"/>
            <rFont val="Calibri"/>
            <family val="2"/>
            <scheme val="minor"/>
          </rPr>
          <t>Seleccione un valor de la lista</t>
        </r>
      </text>
    </comment>
    <comment ref="F1265" authorId="2">
      <text>
        <r>
          <rPr>
            <sz val="11"/>
            <color theme="1"/>
            <rFont val="Calibri"/>
            <family val="2"/>
            <scheme val="minor"/>
          </rPr>
          <t>Introduzca el código SNIP</t>
        </r>
      </text>
    </comment>
    <comment ref="C1266" authorId="2">
      <text>
        <r>
          <rPr>
            <sz val="11"/>
            <color theme="1"/>
            <rFont val="Calibri"/>
            <family val="2"/>
            <scheme val="minor"/>
          </rPr>
          <t>Introduzca la fecha de inicio del proceso, en formato dd-mm-aaaa</t>
        </r>
      </text>
    </comment>
    <comment ref="F126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67" authorId="2">
      <text/>
    </comment>
    <comment ref="C1268" authorId="2">
      <text>
        <r>
          <rPr>
            <sz val="11"/>
            <color theme="1"/>
            <rFont val="Calibri"/>
            <family val="2"/>
            <scheme val="minor"/>
          </rPr>
          <t>Introduzca la fecha prevista de adjudicación, en formato dd-mm-aaaa</t>
        </r>
      </text>
    </comment>
    <comment ref="F1268" authorId="2">
      <text/>
    </comment>
    <comment ref="F1269" authorId="2">
      <text/>
    </comment>
    <comment ref="A1271" authorId="2">
      <text>
        <r>
          <rPr>
            <sz val="11"/>
            <color theme="1"/>
            <rFont val="Calibri"/>
            <family val="2"/>
            <scheme val="minor"/>
          </rPr>
          <t>Introduzca un codigo UNSPSC</t>
        </r>
      </text>
    </comment>
    <comment ref="B1271" authorId="2">
      <text>
        <r>
          <rPr>
            <sz val="11"/>
            <color theme="1"/>
            <rFont val="Calibri"/>
            <family val="2"/>
            <scheme val="minor"/>
          </rPr>
          <t>Descripción calculada automáticamente a partir de código del artículo</t>
        </r>
      </text>
    </comment>
    <comment ref="C1271" authorId="2">
      <text>
        <r>
          <rPr>
            <sz val="11"/>
            <color theme="1"/>
            <rFont val="Calibri"/>
            <family val="2"/>
            <scheme val="minor"/>
          </rPr>
          <t>Seleccione un valor de la lista</t>
        </r>
      </text>
    </comment>
    <comment ref="D1271" authorId="2">
      <text>
        <r>
          <rPr>
            <sz val="11"/>
            <color theme="1"/>
            <rFont val="Calibri"/>
            <family val="2"/>
            <scheme val="minor"/>
          </rPr>
          <t>Introduzca un número con dos decimales como máximo. Debe ser igual o mayor a la "Cantidad Real Consumida"</t>
        </r>
      </text>
    </comment>
    <comment ref="E1271" authorId="2">
      <text>
        <r>
          <rPr>
            <sz val="11"/>
            <color theme="1"/>
            <rFont val="Calibri"/>
            <family val="2"/>
            <scheme val="minor"/>
          </rPr>
          <t>Introduzca un número con dos decimales como máximo</t>
        </r>
      </text>
    </comment>
    <comment ref="F1271" authorId="2">
      <text>
        <r>
          <rPr>
            <sz val="11"/>
            <color theme="1"/>
            <rFont val="Calibri"/>
            <family val="2"/>
            <scheme val="minor"/>
          </rPr>
          <t>Monto calculado automáticamente por el sistema</t>
        </r>
      </text>
    </comment>
    <comment ref="A1276" authorId="2">
      <text>
        <r>
          <rPr>
            <sz val="11"/>
            <color theme="1"/>
            <rFont val="Calibri"/>
            <family val="2"/>
            <scheme val="minor"/>
          </rPr>
          <t>Introducir un texto con el nombre o referencia de la contratación</t>
        </r>
      </text>
    </comment>
    <comment ref="B1276" authorId="2">
      <text>
        <r>
          <rPr>
            <sz val="11"/>
            <color theme="1"/>
            <rFont val="Calibri"/>
            <family val="2"/>
            <scheme val="minor"/>
          </rPr>
          <t>Introduzca un texto con la finalidad de la contratación</t>
        </r>
      </text>
    </comment>
    <comment ref="C1276" authorId="2">
      <text>
        <r>
          <rPr>
            <sz val="11"/>
            <color theme="1"/>
            <rFont val="Calibri"/>
            <family val="2"/>
            <scheme val="minor"/>
          </rPr>
          <t>Seleccionar un valor del listado</t>
        </r>
      </text>
    </comment>
    <comment ref="D1276" authorId="1">
      <text>
        <r>
          <rPr>
            <sz val="11"/>
            <color theme="1"/>
            <rFont val="Calibri"/>
            <family val="2"/>
            <scheme val="minor"/>
          </rPr>
          <t>Seleccione el tipo de procedimiento</t>
        </r>
      </text>
    </comment>
    <comment ref="E1276" authorId="1">
      <text>
        <r>
          <rPr>
            <sz val="11"/>
            <color theme="1"/>
            <rFont val="Calibri"/>
            <family val="2"/>
            <scheme val="minor"/>
          </rPr>
          <t>Seleccione un valor de la lista</t>
        </r>
      </text>
    </comment>
    <comment ref="F1276" authorId="2">
      <text>
        <r>
          <rPr>
            <sz val="11"/>
            <color theme="1"/>
            <rFont val="Calibri"/>
            <family val="2"/>
            <scheme val="minor"/>
          </rPr>
          <t>Introduzca el código SNIP</t>
        </r>
      </text>
    </comment>
    <comment ref="C1277" authorId="2">
      <text>
        <r>
          <rPr>
            <sz val="11"/>
            <color theme="1"/>
            <rFont val="Calibri"/>
            <family val="2"/>
            <scheme val="minor"/>
          </rPr>
          <t>Introduzca la fecha de inicio del proceso, en formato dd-mm-aaaa</t>
        </r>
      </text>
    </comment>
    <comment ref="F127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78" authorId="2">
      <text/>
    </comment>
    <comment ref="C1279" authorId="2">
      <text>
        <r>
          <rPr>
            <sz val="11"/>
            <color theme="1"/>
            <rFont val="Calibri"/>
            <family val="2"/>
            <scheme val="minor"/>
          </rPr>
          <t>Introduzca la fecha prevista de adjudicación, en formato dd-mm-aaaa</t>
        </r>
      </text>
    </comment>
    <comment ref="F1279" authorId="2">
      <text/>
    </comment>
    <comment ref="F1280" authorId="2">
      <text/>
    </comment>
    <comment ref="A1282" authorId="2">
      <text>
        <r>
          <rPr>
            <sz val="11"/>
            <color theme="1"/>
            <rFont val="Calibri"/>
            <family val="2"/>
            <scheme val="minor"/>
          </rPr>
          <t>Introduzca un codigo UNSPSC</t>
        </r>
      </text>
    </comment>
    <comment ref="B1282" authorId="2">
      <text>
        <r>
          <rPr>
            <sz val="11"/>
            <color theme="1"/>
            <rFont val="Calibri"/>
            <family val="2"/>
            <scheme val="minor"/>
          </rPr>
          <t>Descripción calculada automáticamente a partir de código del artículo</t>
        </r>
      </text>
    </comment>
    <comment ref="C1282" authorId="2">
      <text>
        <r>
          <rPr>
            <sz val="11"/>
            <color theme="1"/>
            <rFont val="Calibri"/>
            <family val="2"/>
            <scheme val="minor"/>
          </rPr>
          <t>Seleccione un valor de la lista</t>
        </r>
      </text>
    </comment>
    <comment ref="D1282" authorId="2">
      <text>
        <r>
          <rPr>
            <sz val="11"/>
            <color theme="1"/>
            <rFont val="Calibri"/>
            <family val="2"/>
            <scheme val="minor"/>
          </rPr>
          <t>Introduzca un número con dos decimales como máximo. Debe ser igual o mayor a la "Cantidad Real Consumida"</t>
        </r>
      </text>
    </comment>
    <comment ref="E1282" authorId="2">
      <text>
        <r>
          <rPr>
            <sz val="11"/>
            <color theme="1"/>
            <rFont val="Calibri"/>
            <family val="2"/>
            <scheme val="minor"/>
          </rPr>
          <t>Introduzca un número con dos decimales como máximo</t>
        </r>
      </text>
    </comment>
    <comment ref="F1282" authorId="2">
      <text>
        <r>
          <rPr>
            <sz val="11"/>
            <color theme="1"/>
            <rFont val="Calibri"/>
            <family val="2"/>
            <scheme val="minor"/>
          </rPr>
          <t>Monto calculado automáticamente por el sistema</t>
        </r>
      </text>
    </comment>
    <comment ref="A1287" authorId="2">
      <text>
        <r>
          <rPr>
            <sz val="11"/>
            <color theme="1"/>
            <rFont val="Calibri"/>
            <family val="2"/>
            <scheme val="minor"/>
          </rPr>
          <t>Introducir un texto con el nombre o referencia de la contratación</t>
        </r>
      </text>
    </comment>
    <comment ref="B1287" authorId="2">
      <text>
        <r>
          <rPr>
            <sz val="11"/>
            <color theme="1"/>
            <rFont val="Calibri"/>
            <family val="2"/>
            <scheme val="minor"/>
          </rPr>
          <t>Introduzca un texto con la finalidad de la contratación</t>
        </r>
      </text>
    </comment>
    <comment ref="C1287" authorId="2">
      <text>
        <r>
          <rPr>
            <sz val="11"/>
            <color theme="1"/>
            <rFont val="Calibri"/>
            <family val="2"/>
            <scheme val="minor"/>
          </rPr>
          <t>Seleccionar un valor del listado</t>
        </r>
      </text>
    </comment>
    <comment ref="D1287" authorId="1">
      <text>
        <r>
          <rPr>
            <sz val="11"/>
            <color theme="1"/>
            <rFont val="Calibri"/>
            <family val="2"/>
            <scheme val="minor"/>
          </rPr>
          <t>Seleccione el tipo de procedimiento</t>
        </r>
      </text>
    </comment>
    <comment ref="E1287" authorId="1">
      <text>
        <r>
          <rPr>
            <sz val="11"/>
            <color theme="1"/>
            <rFont val="Calibri"/>
            <family val="2"/>
            <scheme val="minor"/>
          </rPr>
          <t>Seleccione un valor de la lista</t>
        </r>
      </text>
    </comment>
    <comment ref="F1287" authorId="2">
      <text>
        <r>
          <rPr>
            <sz val="11"/>
            <color theme="1"/>
            <rFont val="Calibri"/>
            <family val="2"/>
            <scheme val="minor"/>
          </rPr>
          <t>Introduzca el código SNIP</t>
        </r>
      </text>
    </comment>
    <comment ref="C1288" authorId="2">
      <text>
        <r>
          <rPr>
            <sz val="11"/>
            <color theme="1"/>
            <rFont val="Calibri"/>
            <family val="2"/>
            <scheme val="minor"/>
          </rPr>
          <t>Introduzca la fecha de inicio del proceso, en formato dd-mm-aaaa</t>
        </r>
      </text>
    </comment>
    <comment ref="F1288"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9" authorId="2">
      <text/>
    </comment>
    <comment ref="C1290" authorId="2">
      <text>
        <r>
          <rPr>
            <sz val="11"/>
            <color theme="1"/>
            <rFont val="Calibri"/>
            <family val="2"/>
            <scheme val="minor"/>
          </rPr>
          <t>Introduzca la fecha prevista de adjudicación, en formato dd-mm-aaaa</t>
        </r>
      </text>
    </comment>
    <comment ref="F1290" authorId="2">
      <text/>
    </comment>
    <comment ref="F1291" authorId="2">
      <text/>
    </comment>
    <comment ref="A1293" authorId="2">
      <text>
        <r>
          <rPr>
            <sz val="11"/>
            <color theme="1"/>
            <rFont val="Calibri"/>
            <family val="2"/>
            <scheme val="minor"/>
          </rPr>
          <t>Introduzca un codigo UNSPSC</t>
        </r>
      </text>
    </comment>
    <comment ref="B1293" authorId="2">
      <text>
        <r>
          <rPr>
            <sz val="11"/>
            <color theme="1"/>
            <rFont val="Calibri"/>
            <family val="2"/>
            <scheme val="minor"/>
          </rPr>
          <t>Descripción calculada automáticamente a partir de código del artículo</t>
        </r>
      </text>
    </comment>
    <comment ref="C1293" authorId="2">
      <text>
        <r>
          <rPr>
            <sz val="11"/>
            <color theme="1"/>
            <rFont val="Calibri"/>
            <family val="2"/>
            <scheme val="minor"/>
          </rPr>
          <t>Seleccione un valor de la lista</t>
        </r>
      </text>
    </comment>
    <comment ref="D1293" authorId="2">
      <text>
        <r>
          <rPr>
            <sz val="11"/>
            <color theme="1"/>
            <rFont val="Calibri"/>
            <family val="2"/>
            <scheme val="minor"/>
          </rPr>
          <t>Introduzca un número con dos decimales como máximo. Debe ser igual o mayor a la "Cantidad Real Consumida"</t>
        </r>
      </text>
    </comment>
    <comment ref="E1293" authorId="2">
      <text>
        <r>
          <rPr>
            <sz val="11"/>
            <color theme="1"/>
            <rFont val="Calibri"/>
            <family val="2"/>
            <scheme val="minor"/>
          </rPr>
          <t>Introduzca un número con dos decimales como máximo</t>
        </r>
      </text>
    </comment>
    <comment ref="F1293" authorId="2">
      <text>
        <r>
          <rPr>
            <sz val="11"/>
            <color theme="1"/>
            <rFont val="Calibri"/>
            <family val="2"/>
            <scheme val="minor"/>
          </rPr>
          <t>Monto calculado automáticamente por el sistema</t>
        </r>
      </text>
    </comment>
    <comment ref="A1298" authorId="2">
      <text>
        <r>
          <rPr>
            <sz val="11"/>
            <color theme="1"/>
            <rFont val="Calibri"/>
            <family val="2"/>
            <scheme val="minor"/>
          </rPr>
          <t>Introducir un texto con el nombre o referencia de la contratación</t>
        </r>
      </text>
    </comment>
    <comment ref="B1298" authorId="2">
      <text>
        <r>
          <rPr>
            <sz val="11"/>
            <color theme="1"/>
            <rFont val="Calibri"/>
            <family val="2"/>
            <scheme val="minor"/>
          </rPr>
          <t>Introduzca un texto con la finalidad de la contratación</t>
        </r>
      </text>
    </comment>
    <comment ref="C1298" authorId="2">
      <text>
        <r>
          <rPr>
            <sz val="11"/>
            <color theme="1"/>
            <rFont val="Calibri"/>
            <family val="2"/>
            <scheme val="minor"/>
          </rPr>
          <t>Seleccionar un valor del listado</t>
        </r>
      </text>
    </comment>
    <comment ref="D1298" authorId="1">
      <text>
        <r>
          <rPr>
            <sz val="11"/>
            <color theme="1"/>
            <rFont val="Calibri"/>
            <family val="2"/>
            <scheme val="minor"/>
          </rPr>
          <t>Seleccione el tipo de procedimiento</t>
        </r>
      </text>
    </comment>
    <comment ref="E1298" authorId="1">
      <text>
        <r>
          <rPr>
            <sz val="11"/>
            <color theme="1"/>
            <rFont val="Calibri"/>
            <family val="2"/>
            <scheme val="minor"/>
          </rPr>
          <t>Seleccione un valor de la lista</t>
        </r>
      </text>
    </comment>
    <comment ref="F1298" authorId="2">
      <text>
        <r>
          <rPr>
            <sz val="11"/>
            <color theme="1"/>
            <rFont val="Calibri"/>
            <family val="2"/>
            <scheme val="minor"/>
          </rPr>
          <t>Introduzca el código SNIP</t>
        </r>
      </text>
    </comment>
    <comment ref="C1299" authorId="2">
      <text>
        <r>
          <rPr>
            <sz val="11"/>
            <color theme="1"/>
            <rFont val="Calibri"/>
            <family val="2"/>
            <scheme val="minor"/>
          </rPr>
          <t>Introduzca la fecha de inicio del proceso, en formato dd-mm-aaaa</t>
        </r>
      </text>
    </comment>
    <comment ref="F129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00" authorId="2">
      <text/>
    </comment>
    <comment ref="C1301" authorId="2">
      <text>
        <r>
          <rPr>
            <sz val="11"/>
            <color theme="1"/>
            <rFont val="Calibri"/>
            <family val="2"/>
            <scheme val="minor"/>
          </rPr>
          <t>Introduzca la fecha prevista de adjudicación, en formato dd-mm-aaaa</t>
        </r>
      </text>
    </comment>
    <comment ref="F1301" authorId="2">
      <text/>
    </comment>
    <comment ref="F1302" authorId="2">
      <text/>
    </comment>
    <comment ref="A1304" authorId="2">
      <text>
        <r>
          <rPr>
            <sz val="11"/>
            <color theme="1"/>
            <rFont val="Calibri"/>
            <family val="2"/>
            <scheme val="minor"/>
          </rPr>
          <t>Introduzca un codigo UNSPSC</t>
        </r>
      </text>
    </comment>
    <comment ref="B1304" authorId="2">
      <text>
        <r>
          <rPr>
            <sz val="11"/>
            <color theme="1"/>
            <rFont val="Calibri"/>
            <family val="2"/>
            <scheme val="minor"/>
          </rPr>
          <t>Descripción calculada automáticamente a partir de código del artículo</t>
        </r>
      </text>
    </comment>
    <comment ref="C1304" authorId="2">
      <text>
        <r>
          <rPr>
            <sz val="11"/>
            <color theme="1"/>
            <rFont val="Calibri"/>
            <family val="2"/>
            <scheme val="minor"/>
          </rPr>
          <t>Seleccione un valor de la lista</t>
        </r>
      </text>
    </comment>
    <comment ref="D1304" authorId="2">
      <text>
        <r>
          <rPr>
            <sz val="11"/>
            <color theme="1"/>
            <rFont val="Calibri"/>
            <family val="2"/>
            <scheme val="minor"/>
          </rPr>
          <t>Introduzca un número con dos decimales como máximo. Debe ser igual o mayor a la "Cantidad Real Consumida"</t>
        </r>
      </text>
    </comment>
    <comment ref="E1304" authorId="2">
      <text>
        <r>
          <rPr>
            <sz val="11"/>
            <color theme="1"/>
            <rFont val="Calibri"/>
            <family val="2"/>
            <scheme val="minor"/>
          </rPr>
          <t>Introduzca un número con dos decimales como máximo</t>
        </r>
      </text>
    </comment>
    <comment ref="F1304" authorId="2">
      <text>
        <r>
          <rPr>
            <sz val="11"/>
            <color theme="1"/>
            <rFont val="Calibri"/>
            <family val="2"/>
            <scheme val="minor"/>
          </rPr>
          <t>Monto calculado automáticamente por el sistema</t>
        </r>
      </text>
    </comment>
    <comment ref="A1309" authorId="2">
      <text>
        <r>
          <rPr>
            <sz val="11"/>
            <color theme="1"/>
            <rFont val="Calibri"/>
            <family val="2"/>
            <scheme val="minor"/>
          </rPr>
          <t>Introducir un texto con el nombre o referencia de la contratación</t>
        </r>
      </text>
    </comment>
    <comment ref="B1309" authorId="2">
      <text>
        <r>
          <rPr>
            <sz val="11"/>
            <color theme="1"/>
            <rFont val="Calibri"/>
            <family val="2"/>
            <scheme val="minor"/>
          </rPr>
          <t>Introduzca un texto con la finalidad de la contratación</t>
        </r>
      </text>
    </comment>
    <comment ref="C1309" authorId="2">
      <text>
        <r>
          <rPr>
            <sz val="11"/>
            <color theme="1"/>
            <rFont val="Calibri"/>
            <family val="2"/>
            <scheme val="minor"/>
          </rPr>
          <t>Seleccionar un valor del listado</t>
        </r>
      </text>
    </comment>
    <comment ref="D1309" authorId="1">
      <text>
        <r>
          <rPr>
            <sz val="11"/>
            <color theme="1"/>
            <rFont val="Calibri"/>
            <family val="2"/>
            <scheme val="minor"/>
          </rPr>
          <t>Seleccione el tipo de procedimiento</t>
        </r>
      </text>
    </comment>
    <comment ref="E1309" authorId="1">
      <text>
        <r>
          <rPr>
            <sz val="11"/>
            <color theme="1"/>
            <rFont val="Calibri"/>
            <family val="2"/>
            <scheme val="minor"/>
          </rPr>
          <t>Seleccione un valor de la lista</t>
        </r>
      </text>
    </comment>
    <comment ref="F1309" authorId="2">
      <text>
        <r>
          <rPr>
            <sz val="11"/>
            <color theme="1"/>
            <rFont val="Calibri"/>
            <family val="2"/>
            <scheme val="minor"/>
          </rPr>
          <t>Introduzca el código SNIP</t>
        </r>
      </text>
    </comment>
    <comment ref="C1310" authorId="2">
      <text>
        <r>
          <rPr>
            <sz val="11"/>
            <color theme="1"/>
            <rFont val="Calibri"/>
            <family val="2"/>
            <scheme val="minor"/>
          </rPr>
          <t>Introduzca la fecha de inicio del proceso, en formato dd-mm-aaaa</t>
        </r>
      </text>
    </comment>
    <comment ref="F131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11" authorId="2">
      <text/>
    </comment>
    <comment ref="C1312" authorId="2">
      <text>
        <r>
          <rPr>
            <sz val="11"/>
            <color theme="1"/>
            <rFont val="Calibri"/>
            <family val="2"/>
            <scheme val="minor"/>
          </rPr>
          <t>Introduzca la fecha prevista de adjudicación, en formato dd-mm-aaaa</t>
        </r>
      </text>
    </comment>
    <comment ref="F1312" authorId="2">
      <text/>
    </comment>
    <comment ref="F1313" authorId="2">
      <text/>
    </comment>
    <comment ref="A1315" authorId="2">
      <text>
        <r>
          <rPr>
            <sz val="11"/>
            <color theme="1"/>
            <rFont val="Calibri"/>
            <family val="2"/>
            <scheme val="minor"/>
          </rPr>
          <t>Introduzca un codigo UNSPSC</t>
        </r>
      </text>
    </comment>
    <comment ref="B1315" authorId="2">
      <text>
        <r>
          <rPr>
            <sz val="11"/>
            <color theme="1"/>
            <rFont val="Calibri"/>
            <family val="2"/>
            <scheme val="minor"/>
          </rPr>
          <t>Descripción calculada automáticamente a partir de código del artículo</t>
        </r>
      </text>
    </comment>
    <comment ref="C1315" authorId="2">
      <text>
        <r>
          <rPr>
            <sz val="11"/>
            <color theme="1"/>
            <rFont val="Calibri"/>
            <family val="2"/>
            <scheme val="minor"/>
          </rPr>
          <t>Seleccione un valor de la lista</t>
        </r>
      </text>
    </comment>
    <comment ref="D1315" authorId="2">
      <text>
        <r>
          <rPr>
            <sz val="11"/>
            <color theme="1"/>
            <rFont val="Calibri"/>
            <family val="2"/>
            <scheme val="minor"/>
          </rPr>
          <t>Introduzca un número con dos decimales como máximo. Debe ser igual o mayor a la "Cantidad Real Consumida"</t>
        </r>
      </text>
    </comment>
    <comment ref="E1315" authorId="2">
      <text>
        <r>
          <rPr>
            <sz val="11"/>
            <color theme="1"/>
            <rFont val="Calibri"/>
            <family val="2"/>
            <scheme val="minor"/>
          </rPr>
          <t>Introduzca un número con dos decimales como máximo</t>
        </r>
      </text>
    </comment>
    <comment ref="F1315" authorId="2">
      <text>
        <r>
          <rPr>
            <sz val="11"/>
            <color theme="1"/>
            <rFont val="Calibri"/>
            <family val="2"/>
            <scheme val="minor"/>
          </rPr>
          <t>Monto calculado automáticamente por el sistema</t>
        </r>
      </text>
    </comment>
    <comment ref="A1332" authorId="2">
      <text>
        <r>
          <rPr>
            <sz val="11"/>
            <color theme="1"/>
            <rFont val="Calibri"/>
            <family val="2"/>
            <scheme val="minor"/>
          </rPr>
          <t>Introducir un texto con el nombre o referencia de la contratación</t>
        </r>
      </text>
    </comment>
    <comment ref="B1332" authorId="2">
      <text>
        <r>
          <rPr>
            <sz val="11"/>
            <color theme="1"/>
            <rFont val="Calibri"/>
            <family val="2"/>
            <scheme val="minor"/>
          </rPr>
          <t>Introduzca un texto con la finalidad de la contratación</t>
        </r>
      </text>
    </comment>
    <comment ref="C1332" authorId="2">
      <text>
        <r>
          <rPr>
            <sz val="11"/>
            <color theme="1"/>
            <rFont val="Calibri"/>
            <family val="2"/>
            <scheme val="minor"/>
          </rPr>
          <t>Seleccionar un valor del listado</t>
        </r>
      </text>
    </comment>
    <comment ref="D1332" authorId="1">
      <text>
        <r>
          <rPr>
            <sz val="11"/>
            <color theme="1"/>
            <rFont val="Calibri"/>
            <family val="2"/>
            <scheme val="minor"/>
          </rPr>
          <t>Seleccione el tipo de procedimiento</t>
        </r>
      </text>
    </comment>
    <comment ref="E1332" authorId="1">
      <text>
        <r>
          <rPr>
            <sz val="11"/>
            <color theme="1"/>
            <rFont val="Calibri"/>
            <family val="2"/>
            <scheme val="minor"/>
          </rPr>
          <t>Seleccione un valor de la lista</t>
        </r>
      </text>
    </comment>
    <comment ref="F1332" authorId="2">
      <text>
        <r>
          <rPr>
            <sz val="11"/>
            <color theme="1"/>
            <rFont val="Calibri"/>
            <family val="2"/>
            <scheme val="minor"/>
          </rPr>
          <t>Introduzca el código SNIP</t>
        </r>
      </text>
    </comment>
    <comment ref="C1333" authorId="2">
      <text>
        <r>
          <rPr>
            <sz val="11"/>
            <color theme="1"/>
            <rFont val="Calibri"/>
            <family val="2"/>
            <scheme val="minor"/>
          </rPr>
          <t>Introduzca la fecha de inicio del proceso, en formato dd-mm-aaaa</t>
        </r>
      </text>
    </comment>
    <comment ref="F133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34" authorId="2">
      <text/>
    </comment>
    <comment ref="C1335" authorId="2">
      <text>
        <r>
          <rPr>
            <sz val="11"/>
            <color theme="1"/>
            <rFont val="Calibri"/>
            <family val="2"/>
            <scheme val="minor"/>
          </rPr>
          <t>Introduzca la fecha prevista de adjudicación, en formato dd-mm-aaaa</t>
        </r>
      </text>
    </comment>
    <comment ref="F1335" authorId="2">
      <text/>
    </comment>
    <comment ref="F1336" authorId="2">
      <text/>
    </comment>
    <comment ref="A1338" authorId="2">
      <text>
        <r>
          <rPr>
            <sz val="11"/>
            <color theme="1"/>
            <rFont val="Calibri"/>
            <family val="2"/>
            <scheme val="minor"/>
          </rPr>
          <t>Introduzca un codigo UNSPSC</t>
        </r>
      </text>
    </comment>
    <comment ref="B1338" authorId="2">
      <text>
        <r>
          <rPr>
            <sz val="11"/>
            <color theme="1"/>
            <rFont val="Calibri"/>
            <family val="2"/>
            <scheme val="minor"/>
          </rPr>
          <t>Descripción calculada automáticamente a partir de código del artículo</t>
        </r>
      </text>
    </comment>
    <comment ref="C1338" authorId="2">
      <text>
        <r>
          <rPr>
            <sz val="11"/>
            <color theme="1"/>
            <rFont val="Calibri"/>
            <family val="2"/>
            <scheme val="minor"/>
          </rPr>
          <t>Seleccione un valor de la lista</t>
        </r>
      </text>
    </comment>
    <comment ref="D1338" authorId="2">
      <text>
        <r>
          <rPr>
            <sz val="11"/>
            <color theme="1"/>
            <rFont val="Calibri"/>
            <family val="2"/>
            <scheme val="minor"/>
          </rPr>
          <t>Introduzca un número con dos decimales como máximo. Debe ser igual o mayor a la "Cantidad Real Consumida"</t>
        </r>
      </text>
    </comment>
    <comment ref="E1338" authorId="2">
      <text>
        <r>
          <rPr>
            <sz val="11"/>
            <color theme="1"/>
            <rFont val="Calibri"/>
            <family val="2"/>
            <scheme val="minor"/>
          </rPr>
          <t>Introduzca un número con dos decimales como máximo</t>
        </r>
      </text>
    </comment>
    <comment ref="F1338" authorId="2">
      <text>
        <r>
          <rPr>
            <sz val="11"/>
            <color theme="1"/>
            <rFont val="Calibri"/>
            <family val="2"/>
            <scheme val="minor"/>
          </rPr>
          <t>Monto calculado automáticamente por el sistema</t>
        </r>
      </text>
    </comment>
    <comment ref="A1343" authorId="2">
      <text>
        <r>
          <rPr>
            <sz val="11"/>
            <color theme="1"/>
            <rFont val="Calibri"/>
            <family val="2"/>
            <scheme val="minor"/>
          </rPr>
          <t>Introducir un texto con el nombre o referencia de la contratación</t>
        </r>
      </text>
    </comment>
    <comment ref="B1343" authorId="2">
      <text>
        <r>
          <rPr>
            <sz val="11"/>
            <color theme="1"/>
            <rFont val="Calibri"/>
            <family val="2"/>
            <scheme val="minor"/>
          </rPr>
          <t>Introduzca un texto con la finalidad de la contratación</t>
        </r>
      </text>
    </comment>
    <comment ref="C1343" authorId="2">
      <text>
        <r>
          <rPr>
            <sz val="11"/>
            <color theme="1"/>
            <rFont val="Calibri"/>
            <family val="2"/>
            <scheme val="minor"/>
          </rPr>
          <t>Seleccionar un valor del listado</t>
        </r>
      </text>
    </comment>
    <comment ref="D1343" authorId="1">
      <text>
        <r>
          <rPr>
            <sz val="11"/>
            <color theme="1"/>
            <rFont val="Calibri"/>
            <family val="2"/>
            <scheme val="minor"/>
          </rPr>
          <t>Seleccione el tipo de procedimiento</t>
        </r>
      </text>
    </comment>
    <comment ref="E1343" authorId="2">
      <text>
        <r>
          <rPr>
            <sz val="11"/>
            <color theme="1"/>
            <rFont val="Calibri"/>
            <family val="2"/>
            <scheme val="minor"/>
          </rPr>
          <t>Seleccione un valor de la lista</t>
        </r>
      </text>
    </comment>
    <comment ref="F1343" authorId="2">
      <text>
        <r>
          <rPr>
            <sz val="11"/>
            <color theme="1"/>
            <rFont val="Calibri"/>
            <family val="2"/>
            <scheme val="minor"/>
          </rPr>
          <t>Introduzca el código SNIP</t>
        </r>
      </text>
    </comment>
    <comment ref="C1344" authorId="2">
      <text>
        <r>
          <rPr>
            <sz val="11"/>
            <color theme="1"/>
            <rFont val="Calibri"/>
            <family val="2"/>
            <scheme val="minor"/>
          </rPr>
          <t>Introduzca la fecha de inicio del proceso, en formato dd-mm-aaaa</t>
        </r>
      </text>
    </comment>
    <comment ref="F134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5" authorId="2">
      <text/>
    </comment>
    <comment ref="C1346" authorId="2">
      <text>
        <r>
          <rPr>
            <sz val="11"/>
            <color theme="1"/>
            <rFont val="Calibri"/>
            <family val="2"/>
            <scheme val="minor"/>
          </rPr>
          <t>Introduzca la fecha prevista de adjudicación, en formato dd-mm-aaaa</t>
        </r>
      </text>
    </comment>
    <comment ref="F1346" authorId="2">
      <text/>
    </comment>
    <comment ref="F1347" authorId="2">
      <text/>
    </comment>
    <comment ref="A1349" authorId="2">
      <text>
        <r>
          <rPr>
            <sz val="11"/>
            <color theme="1"/>
            <rFont val="Calibri"/>
            <family val="2"/>
            <scheme val="minor"/>
          </rPr>
          <t>Introduzca un codigo UNSPSC</t>
        </r>
      </text>
    </comment>
    <comment ref="B1349" authorId="2">
      <text>
        <r>
          <rPr>
            <sz val="11"/>
            <color theme="1"/>
            <rFont val="Calibri"/>
            <family val="2"/>
            <scheme val="minor"/>
          </rPr>
          <t>Descripción calculada automáticamente a partir de código del artículo</t>
        </r>
      </text>
    </comment>
    <comment ref="C1349" authorId="2">
      <text>
        <r>
          <rPr>
            <sz val="11"/>
            <color theme="1"/>
            <rFont val="Calibri"/>
            <family val="2"/>
            <scheme val="minor"/>
          </rPr>
          <t>Seleccione un valor de la lista</t>
        </r>
      </text>
    </comment>
    <comment ref="D1349" authorId="2">
      <text>
        <r>
          <rPr>
            <sz val="11"/>
            <color theme="1"/>
            <rFont val="Calibri"/>
            <family val="2"/>
            <scheme val="minor"/>
          </rPr>
          <t>Introduzca un número con dos decimales como máximo. Debe ser igual o mayor a la "Cantidad Real Consumida"</t>
        </r>
      </text>
    </comment>
    <comment ref="E1349" authorId="2">
      <text>
        <r>
          <rPr>
            <sz val="11"/>
            <color theme="1"/>
            <rFont val="Calibri"/>
            <family val="2"/>
            <scheme val="minor"/>
          </rPr>
          <t>Introduzca un número con dos decimales como máximo</t>
        </r>
      </text>
    </comment>
    <comment ref="F1349" authorId="2">
      <text>
        <r>
          <rPr>
            <sz val="11"/>
            <color theme="1"/>
            <rFont val="Calibri"/>
            <family val="2"/>
            <scheme val="minor"/>
          </rPr>
          <t>Monto calculado automáticamente por el sistema</t>
        </r>
      </text>
    </comment>
    <comment ref="A1355" authorId="2">
      <text>
        <r>
          <rPr>
            <sz val="11"/>
            <color theme="1"/>
            <rFont val="Calibri"/>
            <family val="2"/>
            <scheme val="minor"/>
          </rPr>
          <t>Introducir un texto con el nombre o referencia de la contratación</t>
        </r>
      </text>
    </comment>
    <comment ref="B1355" authorId="2">
      <text>
        <r>
          <rPr>
            <sz val="11"/>
            <color theme="1"/>
            <rFont val="Calibri"/>
            <family val="2"/>
            <scheme val="minor"/>
          </rPr>
          <t>Introduzca un texto con la finalidad de la contratación</t>
        </r>
      </text>
    </comment>
    <comment ref="C1355" authorId="2">
      <text>
        <r>
          <rPr>
            <sz val="11"/>
            <color theme="1"/>
            <rFont val="Calibri"/>
            <family val="2"/>
            <scheme val="minor"/>
          </rPr>
          <t>Seleccionar un valor del listado</t>
        </r>
      </text>
    </comment>
    <comment ref="D1355" authorId="1">
      <text>
        <r>
          <rPr>
            <sz val="11"/>
            <color theme="1"/>
            <rFont val="Calibri"/>
            <family val="2"/>
            <scheme val="minor"/>
          </rPr>
          <t>Seleccione el tipo de procedimiento</t>
        </r>
      </text>
    </comment>
    <comment ref="E1355" authorId="2">
      <text>
        <r>
          <rPr>
            <sz val="11"/>
            <color theme="1"/>
            <rFont val="Calibri"/>
            <family val="2"/>
            <scheme val="minor"/>
          </rPr>
          <t>Seleccione un valor de la lista</t>
        </r>
      </text>
    </comment>
    <comment ref="F1355" authorId="2">
      <text>
        <r>
          <rPr>
            <sz val="11"/>
            <color theme="1"/>
            <rFont val="Calibri"/>
            <family val="2"/>
            <scheme val="minor"/>
          </rPr>
          <t>Introduzca el código SNIP</t>
        </r>
      </text>
    </comment>
    <comment ref="C1356" authorId="2">
      <text>
        <r>
          <rPr>
            <sz val="11"/>
            <color theme="1"/>
            <rFont val="Calibri"/>
            <family val="2"/>
            <scheme val="minor"/>
          </rPr>
          <t>Introduzca la fecha de inicio del proceso, en formato dd-mm-aaaa</t>
        </r>
      </text>
    </comment>
    <comment ref="F135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57" authorId="2">
      <text/>
    </comment>
    <comment ref="C1358" authorId="2">
      <text>
        <r>
          <rPr>
            <sz val="11"/>
            <color theme="1"/>
            <rFont val="Calibri"/>
            <family val="2"/>
            <scheme val="minor"/>
          </rPr>
          <t>Introduzca la fecha prevista de adjudicación, en formato dd-mm-aaaa</t>
        </r>
      </text>
    </comment>
    <comment ref="F1358" authorId="2">
      <text/>
    </comment>
    <comment ref="F1359" authorId="2">
      <text/>
    </comment>
    <comment ref="A1361" authorId="2">
      <text>
        <r>
          <rPr>
            <sz val="11"/>
            <color theme="1"/>
            <rFont val="Calibri"/>
            <family val="2"/>
            <scheme val="minor"/>
          </rPr>
          <t>Introduzca un codigo UNSPSC</t>
        </r>
      </text>
    </comment>
    <comment ref="B1361" authorId="2">
      <text>
        <r>
          <rPr>
            <sz val="11"/>
            <color theme="1"/>
            <rFont val="Calibri"/>
            <family val="2"/>
            <scheme val="minor"/>
          </rPr>
          <t>Descripción calculada automáticamente a partir de código del artículo</t>
        </r>
      </text>
    </comment>
    <comment ref="C1361" authorId="2">
      <text>
        <r>
          <rPr>
            <sz val="11"/>
            <color theme="1"/>
            <rFont val="Calibri"/>
            <family val="2"/>
            <scheme val="minor"/>
          </rPr>
          <t>Seleccione un valor de la lista</t>
        </r>
      </text>
    </comment>
    <comment ref="D1361" authorId="2">
      <text>
        <r>
          <rPr>
            <sz val="11"/>
            <color theme="1"/>
            <rFont val="Calibri"/>
            <family val="2"/>
            <scheme val="minor"/>
          </rPr>
          <t>Introduzca un número con dos decimales como máximo. Debe ser igual o mayor a la "Cantidad Real Consumida"</t>
        </r>
      </text>
    </comment>
    <comment ref="E1361" authorId="2">
      <text>
        <r>
          <rPr>
            <sz val="11"/>
            <color theme="1"/>
            <rFont val="Calibri"/>
            <family val="2"/>
            <scheme val="minor"/>
          </rPr>
          <t>Introduzca un número con dos decimales como máximo</t>
        </r>
      </text>
    </comment>
    <comment ref="F1361" authorId="2">
      <text>
        <r>
          <rPr>
            <sz val="11"/>
            <color theme="1"/>
            <rFont val="Calibri"/>
            <family val="2"/>
            <scheme val="minor"/>
          </rPr>
          <t>Monto calculado automáticamente por el sistema</t>
        </r>
      </text>
    </comment>
    <comment ref="A1366" authorId="2">
      <text>
        <r>
          <rPr>
            <sz val="11"/>
            <color theme="1"/>
            <rFont val="Calibri"/>
            <family val="2"/>
            <scheme val="minor"/>
          </rPr>
          <t>Introducir un texto con el nombre o referencia de la contratación</t>
        </r>
      </text>
    </comment>
    <comment ref="B1366" authorId="2">
      <text>
        <r>
          <rPr>
            <sz val="11"/>
            <color theme="1"/>
            <rFont val="Calibri"/>
            <family val="2"/>
            <scheme val="minor"/>
          </rPr>
          <t>Introduzca un texto con la finalidad de la contratación</t>
        </r>
      </text>
    </comment>
    <comment ref="C1366" authorId="2">
      <text>
        <r>
          <rPr>
            <sz val="11"/>
            <color theme="1"/>
            <rFont val="Calibri"/>
            <family val="2"/>
            <scheme val="minor"/>
          </rPr>
          <t>Seleccionar un valor del listado</t>
        </r>
      </text>
    </comment>
    <comment ref="D1366" authorId="1">
      <text>
        <r>
          <rPr>
            <sz val="11"/>
            <color theme="1"/>
            <rFont val="Calibri"/>
            <family val="2"/>
            <scheme val="minor"/>
          </rPr>
          <t>Seleccione el tipo de procedimiento</t>
        </r>
      </text>
    </comment>
    <comment ref="E1366" authorId="2">
      <text>
        <r>
          <rPr>
            <sz val="11"/>
            <color theme="1"/>
            <rFont val="Calibri"/>
            <family val="2"/>
            <scheme val="minor"/>
          </rPr>
          <t>Seleccione un valor de la lista</t>
        </r>
      </text>
    </comment>
    <comment ref="F1366" authorId="2">
      <text>
        <r>
          <rPr>
            <sz val="11"/>
            <color theme="1"/>
            <rFont val="Calibri"/>
            <family val="2"/>
            <scheme val="minor"/>
          </rPr>
          <t>Introduzca el código SNIP</t>
        </r>
      </text>
    </comment>
    <comment ref="C1367" authorId="2">
      <text>
        <r>
          <rPr>
            <sz val="11"/>
            <color theme="1"/>
            <rFont val="Calibri"/>
            <family val="2"/>
            <scheme val="minor"/>
          </rPr>
          <t>Introduzca la fecha de inicio del proceso, en formato dd-mm-aaaa</t>
        </r>
      </text>
    </comment>
    <comment ref="F136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68" authorId="2">
      <text/>
    </comment>
    <comment ref="C1369" authorId="2">
      <text>
        <r>
          <rPr>
            <sz val="11"/>
            <color theme="1"/>
            <rFont val="Calibri"/>
            <family val="2"/>
            <scheme val="minor"/>
          </rPr>
          <t>Introduzca la fecha prevista de adjudicación, en formato dd-mm-aaaa</t>
        </r>
      </text>
    </comment>
    <comment ref="F1369" authorId="2">
      <text/>
    </comment>
    <comment ref="F1370" authorId="2">
      <text/>
    </comment>
    <comment ref="A1372" authorId="2">
      <text>
        <r>
          <rPr>
            <sz val="11"/>
            <color theme="1"/>
            <rFont val="Calibri"/>
            <family val="2"/>
            <scheme val="minor"/>
          </rPr>
          <t>Introduzca un codigo UNSPSC</t>
        </r>
      </text>
    </comment>
    <comment ref="B1372" authorId="2">
      <text>
        <r>
          <rPr>
            <sz val="11"/>
            <color theme="1"/>
            <rFont val="Calibri"/>
            <family val="2"/>
            <scheme val="minor"/>
          </rPr>
          <t>Descripción calculada automáticamente a partir de código del artículo</t>
        </r>
      </text>
    </comment>
    <comment ref="C1372" authorId="2">
      <text>
        <r>
          <rPr>
            <sz val="11"/>
            <color theme="1"/>
            <rFont val="Calibri"/>
            <family val="2"/>
            <scheme val="minor"/>
          </rPr>
          <t>Seleccione un valor de la lista</t>
        </r>
      </text>
    </comment>
    <comment ref="D1372" authorId="2">
      <text>
        <r>
          <rPr>
            <sz val="11"/>
            <color theme="1"/>
            <rFont val="Calibri"/>
            <family val="2"/>
            <scheme val="minor"/>
          </rPr>
          <t>Introduzca un número con dos decimales como máximo. Debe ser igual o mayor a la "Cantidad Real Consumida"</t>
        </r>
      </text>
    </comment>
    <comment ref="E1372" authorId="2">
      <text>
        <r>
          <rPr>
            <sz val="11"/>
            <color theme="1"/>
            <rFont val="Calibri"/>
            <family val="2"/>
            <scheme val="minor"/>
          </rPr>
          <t>Introduzca un número con dos decimales como máximo</t>
        </r>
      </text>
    </comment>
    <comment ref="F1372" authorId="2">
      <text>
        <r>
          <rPr>
            <sz val="11"/>
            <color theme="1"/>
            <rFont val="Calibri"/>
            <family val="2"/>
            <scheme val="minor"/>
          </rPr>
          <t>Monto calculado automáticamente por el sistema</t>
        </r>
      </text>
    </comment>
    <comment ref="A1377" authorId="2">
      <text>
        <r>
          <rPr>
            <sz val="11"/>
            <color theme="1"/>
            <rFont val="Calibri"/>
            <family val="2"/>
            <scheme val="minor"/>
          </rPr>
          <t>Introducir un texto con el nombre o referencia de la contratación</t>
        </r>
      </text>
    </comment>
    <comment ref="B1377" authorId="2">
      <text>
        <r>
          <rPr>
            <sz val="11"/>
            <color theme="1"/>
            <rFont val="Calibri"/>
            <family val="2"/>
            <scheme val="minor"/>
          </rPr>
          <t>Introduzca un texto con la finalidad de la contratación</t>
        </r>
      </text>
    </comment>
    <comment ref="C1377" authorId="2">
      <text>
        <r>
          <rPr>
            <sz val="11"/>
            <color theme="1"/>
            <rFont val="Calibri"/>
            <family val="2"/>
            <scheme val="minor"/>
          </rPr>
          <t>Seleccionar un valor del listado</t>
        </r>
      </text>
    </comment>
    <comment ref="D1377" authorId="1">
      <text>
        <r>
          <rPr>
            <sz val="11"/>
            <color theme="1"/>
            <rFont val="Calibri"/>
            <family val="2"/>
            <scheme val="minor"/>
          </rPr>
          <t>Seleccione el tipo de procedimiento</t>
        </r>
      </text>
    </comment>
    <comment ref="E1377" authorId="2">
      <text>
        <r>
          <rPr>
            <sz val="11"/>
            <color theme="1"/>
            <rFont val="Calibri"/>
            <family val="2"/>
            <scheme val="minor"/>
          </rPr>
          <t>Seleccione un valor de la lista</t>
        </r>
      </text>
    </comment>
    <comment ref="F1377" authorId="2">
      <text>
        <r>
          <rPr>
            <sz val="11"/>
            <color theme="1"/>
            <rFont val="Calibri"/>
            <family val="2"/>
            <scheme val="minor"/>
          </rPr>
          <t>Introduzca el código SNIP</t>
        </r>
      </text>
    </comment>
    <comment ref="C1378" authorId="2">
      <text>
        <r>
          <rPr>
            <sz val="11"/>
            <color theme="1"/>
            <rFont val="Calibri"/>
            <family val="2"/>
            <scheme val="minor"/>
          </rPr>
          <t>Introduzca la fecha de inicio del proceso, en formato dd-mm-aaaa</t>
        </r>
      </text>
    </comment>
    <comment ref="F1378"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79" authorId="2">
      <text/>
    </comment>
    <comment ref="C1380" authorId="2">
      <text>
        <r>
          <rPr>
            <sz val="11"/>
            <color theme="1"/>
            <rFont val="Calibri"/>
            <family val="2"/>
            <scheme val="minor"/>
          </rPr>
          <t>Introduzca la fecha prevista de adjudicación, en formato dd-mm-aaaa</t>
        </r>
      </text>
    </comment>
    <comment ref="F1380" authorId="2">
      <text/>
    </comment>
    <comment ref="F1381" authorId="2">
      <text/>
    </comment>
    <comment ref="A1383" authorId="2">
      <text>
        <r>
          <rPr>
            <sz val="11"/>
            <color theme="1"/>
            <rFont val="Calibri"/>
            <family val="2"/>
            <scheme val="minor"/>
          </rPr>
          <t>Introduzca un codigo UNSPSC</t>
        </r>
      </text>
    </comment>
    <comment ref="B1383" authorId="2">
      <text>
        <r>
          <rPr>
            <sz val="11"/>
            <color theme="1"/>
            <rFont val="Calibri"/>
            <family val="2"/>
            <scheme val="minor"/>
          </rPr>
          <t>Descripción calculada automáticamente a partir de código del artículo</t>
        </r>
      </text>
    </comment>
    <comment ref="C1383" authorId="2">
      <text>
        <r>
          <rPr>
            <sz val="11"/>
            <color theme="1"/>
            <rFont val="Calibri"/>
            <family val="2"/>
            <scheme val="minor"/>
          </rPr>
          <t>Seleccione un valor de la lista</t>
        </r>
      </text>
    </comment>
    <comment ref="D1383" authorId="2">
      <text>
        <r>
          <rPr>
            <sz val="11"/>
            <color theme="1"/>
            <rFont val="Calibri"/>
            <family val="2"/>
            <scheme val="minor"/>
          </rPr>
          <t>Introduzca un número con dos decimales como máximo. Debe ser igual o mayor a la "Cantidad Real Consumida"</t>
        </r>
      </text>
    </comment>
    <comment ref="E1383" authorId="2">
      <text>
        <r>
          <rPr>
            <sz val="11"/>
            <color theme="1"/>
            <rFont val="Calibri"/>
            <family val="2"/>
            <scheme val="minor"/>
          </rPr>
          <t>Introduzca un número con dos decimales como máximo</t>
        </r>
      </text>
    </comment>
    <comment ref="F1383" authorId="2">
      <text>
        <r>
          <rPr>
            <sz val="11"/>
            <color theme="1"/>
            <rFont val="Calibri"/>
            <family val="2"/>
            <scheme val="minor"/>
          </rPr>
          <t>Monto calculado automáticamente por el sistema</t>
        </r>
      </text>
    </comment>
    <comment ref="A1388" authorId="2">
      <text>
        <r>
          <rPr>
            <sz val="11"/>
            <color theme="1"/>
            <rFont val="Calibri"/>
            <family val="2"/>
            <scheme val="minor"/>
          </rPr>
          <t>Introducir un texto con el nombre o referencia de la contratación</t>
        </r>
      </text>
    </comment>
    <comment ref="B1388" authorId="2">
      <text>
        <r>
          <rPr>
            <sz val="11"/>
            <color theme="1"/>
            <rFont val="Calibri"/>
            <family val="2"/>
            <scheme val="minor"/>
          </rPr>
          <t>Introduzca un texto con la finalidad de la contratación</t>
        </r>
      </text>
    </comment>
    <comment ref="C1388" authorId="2">
      <text>
        <r>
          <rPr>
            <sz val="11"/>
            <color theme="1"/>
            <rFont val="Calibri"/>
            <family val="2"/>
            <scheme val="minor"/>
          </rPr>
          <t>Seleccionar un valor del listado</t>
        </r>
      </text>
    </comment>
    <comment ref="D1388" authorId="1">
      <text>
        <r>
          <rPr>
            <sz val="11"/>
            <color theme="1"/>
            <rFont val="Calibri"/>
            <family val="2"/>
            <scheme val="minor"/>
          </rPr>
          <t>Seleccione el tipo de procedimiento</t>
        </r>
      </text>
    </comment>
    <comment ref="E1388" authorId="1">
      <text>
        <r>
          <rPr>
            <sz val="11"/>
            <color theme="1"/>
            <rFont val="Calibri"/>
            <family val="2"/>
            <scheme val="minor"/>
          </rPr>
          <t>Seleccione un valor de la lista</t>
        </r>
      </text>
    </comment>
    <comment ref="F1388" authorId="2">
      <text>
        <r>
          <rPr>
            <sz val="11"/>
            <color theme="1"/>
            <rFont val="Calibri"/>
            <family val="2"/>
            <scheme val="minor"/>
          </rPr>
          <t>Introduzca el código SNIP</t>
        </r>
      </text>
    </comment>
    <comment ref="C1389" authorId="2">
      <text>
        <r>
          <rPr>
            <sz val="11"/>
            <color theme="1"/>
            <rFont val="Calibri"/>
            <family val="2"/>
            <scheme val="minor"/>
          </rPr>
          <t>Introduzca la fecha de inicio del proceso, en formato dd-mm-aaaa</t>
        </r>
      </text>
    </comment>
    <comment ref="F138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0" authorId="2">
      <text/>
    </comment>
    <comment ref="C1391" authorId="2">
      <text>
        <r>
          <rPr>
            <sz val="11"/>
            <color theme="1"/>
            <rFont val="Calibri"/>
            <family val="2"/>
            <scheme val="minor"/>
          </rPr>
          <t>Introduzca la fecha prevista de adjudicación, en formato dd-mm-aaaa</t>
        </r>
      </text>
    </comment>
    <comment ref="F1391" authorId="2">
      <text/>
    </comment>
    <comment ref="F1392" authorId="2">
      <text/>
    </comment>
    <comment ref="A1394" authorId="2">
      <text>
        <r>
          <rPr>
            <sz val="11"/>
            <color theme="1"/>
            <rFont val="Calibri"/>
            <family val="2"/>
            <scheme val="minor"/>
          </rPr>
          <t>Introduzca un codigo UNSPSC</t>
        </r>
      </text>
    </comment>
    <comment ref="B1394" authorId="2">
      <text>
        <r>
          <rPr>
            <sz val="11"/>
            <color theme="1"/>
            <rFont val="Calibri"/>
            <family val="2"/>
            <scheme val="minor"/>
          </rPr>
          <t>Descripción calculada automáticamente a partir de código del artículo</t>
        </r>
      </text>
    </comment>
    <comment ref="C1394" authorId="2">
      <text>
        <r>
          <rPr>
            <sz val="11"/>
            <color theme="1"/>
            <rFont val="Calibri"/>
            <family val="2"/>
            <scheme val="minor"/>
          </rPr>
          <t>Seleccione un valor de la lista</t>
        </r>
      </text>
    </comment>
    <comment ref="D1394" authorId="2">
      <text>
        <r>
          <rPr>
            <sz val="11"/>
            <color theme="1"/>
            <rFont val="Calibri"/>
            <family val="2"/>
            <scheme val="minor"/>
          </rPr>
          <t>Introduzca un número con dos decimales como máximo. Debe ser igual o mayor a la "Cantidad Real Consumida"</t>
        </r>
      </text>
    </comment>
    <comment ref="E1394" authorId="2">
      <text>
        <r>
          <rPr>
            <sz val="11"/>
            <color theme="1"/>
            <rFont val="Calibri"/>
            <family val="2"/>
            <scheme val="minor"/>
          </rPr>
          <t>Introduzca un número con dos decimales como máximo</t>
        </r>
      </text>
    </comment>
    <comment ref="F1394" authorId="2">
      <text>
        <r>
          <rPr>
            <sz val="11"/>
            <color theme="1"/>
            <rFont val="Calibri"/>
            <family val="2"/>
            <scheme val="minor"/>
          </rPr>
          <t>Monto calculado automáticamente por el sistema</t>
        </r>
      </text>
    </comment>
    <comment ref="A1414" authorId="2">
      <text>
        <r>
          <rPr>
            <sz val="11"/>
            <color theme="1"/>
            <rFont val="Calibri"/>
            <family val="2"/>
            <scheme val="minor"/>
          </rPr>
          <t>Introducir un texto con el nombre o referencia de la contratación</t>
        </r>
      </text>
    </comment>
    <comment ref="B1414" authorId="2">
      <text>
        <r>
          <rPr>
            <sz val="11"/>
            <color theme="1"/>
            <rFont val="Calibri"/>
            <family val="2"/>
            <scheme val="minor"/>
          </rPr>
          <t>Introduzca un texto con la finalidad de la contratación</t>
        </r>
      </text>
    </comment>
    <comment ref="C1414" authorId="2">
      <text>
        <r>
          <rPr>
            <sz val="11"/>
            <color theme="1"/>
            <rFont val="Calibri"/>
            <family val="2"/>
            <scheme val="minor"/>
          </rPr>
          <t>Seleccionar un valor del listado</t>
        </r>
      </text>
    </comment>
    <comment ref="D1414" authorId="1">
      <text>
        <r>
          <rPr>
            <sz val="11"/>
            <color theme="1"/>
            <rFont val="Calibri"/>
            <family val="2"/>
            <scheme val="minor"/>
          </rPr>
          <t>Seleccione el tipo de procedimiento</t>
        </r>
      </text>
    </comment>
    <comment ref="E1414" authorId="1">
      <text>
        <r>
          <rPr>
            <sz val="11"/>
            <color theme="1"/>
            <rFont val="Calibri"/>
            <family val="2"/>
            <scheme val="minor"/>
          </rPr>
          <t>Seleccione un valor de la lista</t>
        </r>
      </text>
    </comment>
    <comment ref="F1414" authorId="2">
      <text>
        <r>
          <rPr>
            <sz val="11"/>
            <color theme="1"/>
            <rFont val="Calibri"/>
            <family val="2"/>
            <scheme val="minor"/>
          </rPr>
          <t>Introduzca el código SNIP</t>
        </r>
      </text>
    </comment>
    <comment ref="C1415" authorId="2">
      <text>
        <r>
          <rPr>
            <sz val="11"/>
            <color theme="1"/>
            <rFont val="Calibri"/>
            <family val="2"/>
            <scheme val="minor"/>
          </rPr>
          <t>Introduzca la fecha de inicio del proceso, en formato dd-mm-aaaa</t>
        </r>
      </text>
    </comment>
    <comment ref="F141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16" authorId="2">
      <text/>
    </comment>
    <comment ref="C1417" authorId="2">
      <text>
        <r>
          <rPr>
            <sz val="11"/>
            <color theme="1"/>
            <rFont val="Calibri"/>
            <family val="2"/>
            <scheme val="minor"/>
          </rPr>
          <t>Introduzca la fecha prevista de adjudicación, en formato dd-mm-aaaa</t>
        </r>
      </text>
    </comment>
    <comment ref="F1417" authorId="2">
      <text/>
    </comment>
    <comment ref="F1418" authorId="2">
      <text/>
    </comment>
    <comment ref="A1420" authorId="2">
      <text>
        <r>
          <rPr>
            <sz val="11"/>
            <color theme="1"/>
            <rFont val="Calibri"/>
            <family val="2"/>
            <scheme val="minor"/>
          </rPr>
          <t>Introduzca un codigo UNSPSC</t>
        </r>
      </text>
    </comment>
    <comment ref="B1420" authorId="2">
      <text>
        <r>
          <rPr>
            <sz val="11"/>
            <color theme="1"/>
            <rFont val="Calibri"/>
            <family val="2"/>
            <scheme val="minor"/>
          </rPr>
          <t>Descripción calculada automáticamente a partir de código del artículo</t>
        </r>
      </text>
    </comment>
    <comment ref="C1420" authorId="2">
      <text>
        <r>
          <rPr>
            <sz val="11"/>
            <color theme="1"/>
            <rFont val="Calibri"/>
            <family val="2"/>
            <scheme val="minor"/>
          </rPr>
          <t>Seleccione un valor de la lista</t>
        </r>
      </text>
    </comment>
    <comment ref="D1420" authorId="2">
      <text>
        <r>
          <rPr>
            <sz val="11"/>
            <color theme="1"/>
            <rFont val="Calibri"/>
            <family val="2"/>
            <scheme val="minor"/>
          </rPr>
          <t>Introduzca un número con dos decimales como máximo. Debe ser igual o mayor a la "Cantidad Real Consumida"</t>
        </r>
      </text>
    </comment>
    <comment ref="E1420" authorId="2">
      <text>
        <r>
          <rPr>
            <sz val="11"/>
            <color theme="1"/>
            <rFont val="Calibri"/>
            <family val="2"/>
            <scheme val="minor"/>
          </rPr>
          <t>Introduzca un número con dos decimales como máximo</t>
        </r>
      </text>
    </comment>
    <comment ref="F1420" authorId="2">
      <text>
        <r>
          <rPr>
            <sz val="11"/>
            <color theme="1"/>
            <rFont val="Calibri"/>
            <family val="2"/>
            <scheme val="minor"/>
          </rPr>
          <t>Monto calculado automáticamente por el sistema</t>
        </r>
      </text>
    </comment>
    <comment ref="A1426" authorId="2">
      <text>
        <r>
          <rPr>
            <sz val="11"/>
            <color theme="1"/>
            <rFont val="Calibri"/>
            <family val="2"/>
            <scheme val="minor"/>
          </rPr>
          <t>Introducir un texto con el nombre o referencia de la contratación</t>
        </r>
      </text>
    </comment>
    <comment ref="B1426" authorId="2">
      <text>
        <r>
          <rPr>
            <sz val="11"/>
            <color theme="1"/>
            <rFont val="Calibri"/>
            <family val="2"/>
            <scheme val="minor"/>
          </rPr>
          <t>Introduzca un texto con la finalidad de la contratación</t>
        </r>
      </text>
    </comment>
    <comment ref="C1426" authorId="2">
      <text>
        <r>
          <rPr>
            <sz val="11"/>
            <color theme="1"/>
            <rFont val="Calibri"/>
            <family val="2"/>
            <scheme val="minor"/>
          </rPr>
          <t>Seleccionar un valor del listado</t>
        </r>
      </text>
    </comment>
    <comment ref="D1426" authorId="1">
      <text>
        <r>
          <rPr>
            <sz val="11"/>
            <color theme="1"/>
            <rFont val="Calibri"/>
            <family val="2"/>
            <scheme val="minor"/>
          </rPr>
          <t>Seleccione el tipo de procedimiento</t>
        </r>
      </text>
    </comment>
    <comment ref="E1426" authorId="1">
      <text>
        <r>
          <rPr>
            <sz val="11"/>
            <color theme="1"/>
            <rFont val="Calibri"/>
            <family val="2"/>
            <scheme val="minor"/>
          </rPr>
          <t>Seleccione un valor de la lista</t>
        </r>
      </text>
    </comment>
    <comment ref="F1426" authorId="2">
      <text>
        <r>
          <rPr>
            <sz val="11"/>
            <color theme="1"/>
            <rFont val="Calibri"/>
            <family val="2"/>
            <scheme val="minor"/>
          </rPr>
          <t>Introduzca el código SNIP</t>
        </r>
      </text>
    </comment>
    <comment ref="C1427" authorId="2">
      <text>
        <r>
          <rPr>
            <sz val="11"/>
            <color theme="1"/>
            <rFont val="Calibri"/>
            <family val="2"/>
            <scheme val="minor"/>
          </rPr>
          <t>Introduzca la fecha de inicio del proceso, en formato dd-mm-aaaa</t>
        </r>
      </text>
    </comment>
    <comment ref="F142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28" authorId="2">
      <text/>
    </comment>
    <comment ref="C1429" authorId="2">
      <text>
        <r>
          <rPr>
            <sz val="11"/>
            <color theme="1"/>
            <rFont val="Calibri"/>
            <family val="2"/>
            <scheme val="minor"/>
          </rPr>
          <t>Introduzca la fecha prevista de adjudicación, en formato dd-mm-aaaa</t>
        </r>
      </text>
    </comment>
    <comment ref="F1429" authorId="2">
      <text/>
    </comment>
    <comment ref="F1430" authorId="2">
      <text/>
    </comment>
    <comment ref="A1432" authorId="2">
      <text>
        <r>
          <rPr>
            <sz val="11"/>
            <color theme="1"/>
            <rFont val="Calibri"/>
            <family val="2"/>
            <scheme val="minor"/>
          </rPr>
          <t>Introduzca un codigo UNSPSC</t>
        </r>
      </text>
    </comment>
    <comment ref="B1432" authorId="2">
      <text>
        <r>
          <rPr>
            <sz val="11"/>
            <color theme="1"/>
            <rFont val="Calibri"/>
            <family val="2"/>
            <scheme val="minor"/>
          </rPr>
          <t>Descripción calculada automáticamente a partir de código del artículo</t>
        </r>
      </text>
    </comment>
    <comment ref="C1432" authorId="2">
      <text>
        <r>
          <rPr>
            <sz val="11"/>
            <color theme="1"/>
            <rFont val="Calibri"/>
            <family val="2"/>
            <scheme val="minor"/>
          </rPr>
          <t>Seleccione un valor de la lista</t>
        </r>
      </text>
    </comment>
    <comment ref="D1432" authorId="2">
      <text>
        <r>
          <rPr>
            <sz val="11"/>
            <color theme="1"/>
            <rFont val="Calibri"/>
            <family val="2"/>
            <scheme val="minor"/>
          </rPr>
          <t>Introduzca un número con dos decimales como máximo. Debe ser igual o mayor a la "Cantidad Real Consumida"</t>
        </r>
      </text>
    </comment>
    <comment ref="E1432" authorId="2">
      <text>
        <r>
          <rPr>
            <sz val="11"/>
            <color theme="1"/>
            <rFont val="Calibri"/>
            <family val="2"/>
            <scheme val="minor"/>
          </rPr>
          <t>Introduzca un número con dos decimales como máximo</t>
        </r>
      </text>
    </comment>
    <comment ref="F1432" authorId="2">
      <text>
        <r>
          <rPr>
            <sz val="11"/>
            <color theme="1"/>
            <rFont val="Calibri"/>
            <family val="2"/>
            <scheme val="minor"/>
          </rPr>
          <t>Monto calculado automáticamente por el sistema</t>
        </r>
      </text>
    </comment>
    <comment ref="A1440" authorId="2">
      <text>
        <r>
          <rPr>
            <sz val="11"/>
            <color theme="1"/>
            <rFont val="Calibri"/>
            <family val="2"/>
            <scheme val="minor"/>
          </rPr>
          <t>Introducir un texto con el nombre o referencia de la contratación</t>
        </r>
      </text>
    </comment>
    <comment ref="B1440" authorId="2">
      <text>
        <r>
          <rPr>
            <sz val="11"/>
            <color theme="1"/>
            <rFont val="Calibri"/>
            <family val="2"/>
            <scheme val="minor"/>
          </rPr>
          <t>Introduzca un texto con la finalidad de la contratación</t>
        </r>
      </text>
    </comment>
    <comment ref="C1440" authorId="2">
      <text>
        <r>
          <rPr>
            <sz val="11"/>
            <color theme="1"/>
            <rFont val="Calibri"/>
            <family val="2"/>
            <scheme val="minor"/>
          </rPr>
          <t>Seleccionar un valor del listado</t>
        </r>
      </text>
    </comment>
    <comment ref="D1440" authorId="1">
      <text>
        <r>
          <rPr>
            <sz val="11"/>
            <color theme="1"/>
            <rFont val="Calibri"/>
            <family val="2"/>
            <scheme val="minor"/>
          </rPr>
          <t>Seleccione el tipo de procedimiento</t>
        </r>
      </text>
    </comment>
    <comment ref="E1440" authorId="1">
      <text>
        <r>
          <rPr>
            <sz val="11"/>
            <color theme="1"/>
            <rFont val="Calibri"/>
            <family val="2"/>
            <scheme val="minor"/>
          </rPr>
          <t>Seleccione un valor de la lista</t>
        </r>
      </text>
    </comment>
    <comment ref="F1440" authorId="2">
      <text>
        <r>
          <rPr>
            <sz val="11"/>
            <color theme="1"/>
            <rFont val="Calibri"/>
            <family val="2"/>
            <scheme val="minor"/>
          </rPr>
          <t>Introduzca el código SNIP</t>
        </r>
      </text>
    </comment>
    <comment ref="C1441" authorId="2">
      <text>
        <r>
          <rPr>
            <sz val="11"/>
            <color theme="1"/>
            <rFont val="Calibri"/>
            <family val="2"/>
            <scheme val="minor"/>
          </rPr>
          <t>Introduzca la fecha de inicio del proceso, en formato dd-mm-aaaa</t>
        </r>
      </text>
    </comment>
    <comment ref="F144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42" authorId="2">
      <text/>
    </comment>
    <comment ref="C1443" authorId="2">
      <text>
        <r>
          <rPr>
            <sz val="11"/>
            <color theme="1"/>
            <rFont val="Calibri"/>
            <family val="2"/>
            <scheme val="minor"/>
          </rPr>
          <t>Introduzca la fecha prevista de adjudicación, en formato dd-mm-aaaa</t>
        </r>
      </text>
    </comment>
    <comment ref="F1443" authorId="2">
      <text/>
    </comment>
    <comment ref="F1444" authorId="2">
      <text/>
    </comment>
    <comment ref="A1446" authorId="2">
      <text>
        <r>
          <rPr>
            <sz val="11"/>
            <color theme="1"/>
            <rFont val="Calibri"/>
            <family val="2"/>
            <scheme val="minor"/>
          </rPr>
          <t>Introduzca un codigo UNSPSC</t>
        </r>
      </text>
    </comment>
    <comment ref="B1446" authorId="2">
      <text>
        <r>
          <rPr>
            <sz val="11"/>
            <color theme="1"/>
            <rFont val="Calibri"/>
            <family val="2"/>
            <scheme val="minor"/>
          </rPr>
          <t>Descripción calculada automáticamente a partir de código del artículo</t>
        </r>
      </text>
    </comment>
    <comment ref="C1446" authorId="2">
      <text>
        <r>
          <rPr>
            <sz val="11"/>
            <color theme="1"/>
            <rFont val="Calibri"/>
            <family val="2"/>
            <scheme val="minor"/>
          </rPr>
          <t>Seleccione un valor de la lista</t>
        </r>
      </text>
    </comment>
    <comment ref="D1446" authorId="2">
      <text>
        <r>
          <rPr>
            <sz val="11"/>
            <color theme="1"/>
            <rFont val="Calibri"/>
            <family val="2"/>
            <scheme val="minor"/>
          </rPr>
          <t>Introduzca un número con dos decimales como máximo. Debe ser igual o mayor a la "Cantidad Real Consumida"</t>
        </r>
      </text>
    </comment>
    <comment ref="E1446" authorId="2">
      <text>
        <r>
          <rPr>
            <sz val="11"/>
            <color theme="1"/>
            <rFont val="Calibri"/>
            <family val="2"/>
            <scheme val="minor"/>
          </rPr>
          <t>Introduzca un número con dos decimales como máximo</t>
        </r>
      </text>
    </comment>
    <comment ref="F1446" authorId="2">
      <text>
        <r>
          <rPr>
            <sz val="11"/>
            <color theme="1"/>
            <rFont val="Calibri"/>
            <family val="2"/>
            <scheme val="minor"/>
          </rPr>
          <t>Monto calculado automáticamente por el sistema</t>
        </r>
      </text>
    </comment>
    <comment ref="A1456" authorId="2">
      <text>
        <r>
          <rPr>
            <sz val="11"/>
            <color theme="1"/>
            <rFont val="Calibri"/>
            <family val="2"/>
            <scheme val="minor"/>
          </rPr>
          <t>Introducir un texto con el nombre o referencia de la contratación</t>
        </r>
      </text>
    </comment>
    <comment ref="B1456" authorId="2">
      <text>
        <r>
          <rPr>
            <sz val="11"/>
            <color theme="1"/>
            <rFont val="Calibri"/>
            <family val="2"/>
            <scheme val="minor"/>
          </rPr>
          <t>Introduzca un texto con la finalidad de la contratación</t>
        </r>
      </text>
    </comment>
    <comment ref="C1456" authorId="2">
      <text>
        <r>
          <rPr>
            <sz val="11"/>
            <color theme="1"/>
            <rFont val="Calibri"/>
            <family val="2"/>
            <scheme val="minor"/>
          </rPr>
          <t>Seleccionar un valor del listado</t>
        </r>
      </text>
    </comment>
    <comment ref="D1456" authorId="1">
      <text>
        <r>
          <rPr>
            <sz val="11"/>
            <color theme="1"/>
            <rFont val="Calibri"/>
            <family val="2"/>
            <scheme val="minor"/>
          </rPr>
          <t>Seleccione el tipo de procedimiento</t>
        </r>
      </text>
    </comment>
    <comment ref="E1456" authorId="1">
      <text>
        <r>
          <rPr>
            <sz val="11"/>
            <color theme="1"/>
            <rFont val="Calibri"/>
            <family val="2"/>
            <scheme val="minor"/>
          </rPr>
          <t>Seleccione un valor de la lista</t>
        </r>
      </text>
    </comment>
    <comment ref="F1456" authorId="2">
      <text>
        <r>
          <rPr>
            <sz val="11"/>
            <color theme="1"/>
            <rFont val="Calibri"/>
            <family val="2"/>
            <scheme val="minor"/>
          </rPr>
          <t>Introduzca el código SNIP</t>
        </r>
      </text>
    </comment>
    <comment ref="C1457" authorId="2">
      <text>
        <r>
          <rPr>
            <sz val="11"/>
            <color theme="1"/>
            <rFont val="Calibri"/>
            <family val="2"/>
            <scheme val="minor"/>
          </rPr>
          <t>Introduzca la fecha de inicio del proceso, en formato dd-mm-aaaa</t>
        </r>
      </text>
    </comment>
    <comment ref="F145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8" authorId="2">
      <text/>
    </comment>
    <comment ref="C1459" authorId="2">
      <text>
        <r>
          <rPr>
            <sz val="11"/>
            <color theme="1"/>
            <rFont val="Calibri"/>
            <family val="2"/>
            <scheme val="minor"/>
          </rPr>
          <t>Introduzca la fecha prevista de adjudicación, en formato dd-mm-aaaa</t>
        </r>
      </text>
    </comment>
    <comment ref="F1459" authorId="2">
      <text/>
    </comment>
    <comment ref="F1460" authorId="2">
      <text/>
    </comment>
    <comment ref="A1462" authorId="2">
      <text>
        <r>
          <rPr>
            <sz val="11"/>
            <color theme="1"/>
            <rFont val="Calibri"/>
            <family val="2"/>
            <scheme val="minor"/>
          </rPr>
          <t>Introduzca un codigo UNSPSC</t>
        </r>
      </text>
    </comment>
    <comment ref="B1462" authorId="2">
      <text>
        <r>
          <rPr>
            <sz val="11"/>
            <color theme="1"/>
            <rFont val="Calibri"/>
            <family val="2"/>
            <scheme val="minor"/>
          </rPr>
          <t>Descripción calculada automáticamente a partir de código del artículo</t>
        </r>
      </text>
    </comment>
    <comment ref="C1462" authorId="2">
      <text>
        <r>
          <rPr>
            <sz val="11"/>
            <color theme="1"/>
            <rFont val="Calibri"/>
            <family val="2"/>
            <scheme val="minor"/>
          </rPr>
          <t>Seleccione un valor de la lista</t>
        </r>
      </text>
    </comment>
    <comment ref="D1462" authorId="2">
      <text>
        <r>
          <rPr>
            <sz val="11"/>
            <color theme="1"/>
            <rFont val="Calibri"/>
            <family val="2"/>
            <scheme val="minor"/>
          </rPr>
          <t>Introduzca un número con dos decimales como máximo. Debe ser igual o mayor a la "Cantidad Real Consumida"</t>
        </r>
      </text>
    </comment>
    <comment ref="E1462" authorId="2">
      <text>
        <r>
          <rPr>
            <sz val="11"/>
            <color theme="1"/>
            <rFont val="Calibri"/>
            <family val="2"/>
            <scheme val="minor"/>
          </rPr>
          <t>Introduzca un número con dos decimales como máximo</t>
        </r>
      </text>
    </comment>
    <comment ref="F1462" authorId="2">
      <text>
        <r>
          <rPr>
            <sz val="11"/>
            <color theme="1"/>
            <rFont val="Calibri"/>
            <family val="2"/>
            <scheme val="minor"/>
          </rPr>
          <t>Monto calculado automáticamente por el sistema</t>
        </r>
      </text>
    </comment>
    <comment ref="A1469" authorId="2">
      <text>
        <r>
          <rPr>
            <sz val="11"/>
            <color theme="1"/>
            <rFont val="Calibri"/>
            <family val="2"/>
            <scheme val="minor"/>
          </rPr>
          <t>Introducir un texto con el nombre o referencia de la contratación</t>
        </r>
      </text>
    </comment>
    <comment ref="B1469" authorId="2">
      <text>
        <r>
          <rPr>
            <sz val="11"/>
            <color theme="1"/>
            <rFont val="Calibri"/>
            <family val="2"/>
            <scheme val="minor"/>
          </rPr>
          <t>Introduzca un texto con la finalidad de la contratación</t>
        </r>
      </text>
    </comment>
    <comment ref="C1469" authorId="2">
      <text>
        <r>
          <rPr>
            <sz val="11"/>
            <color theme="1"/>
            <rFont val="Calibri"/>
            <family val="2"/>
            <scheme val="minor"/>
          </rPr>
          <t>Seleccionar un valor del listado</t>
        </r>
      </text>
    </comment>
    <comment ref="D1469" authorId="1">
      <text>
        <r>
          <rPr>
            <sz val="11"/>
            <color theme="1"/>
            <rFont val="Calibri"/>
            <family val="2"/>
            <scheme val="minor"/>
          </rPr>
          <t>Seleccione el tipo de procedimiento</t>
        </r>
      </text>
    </comment>
    <comment ref="E1469" authorId="2">
      <text>
        <r>
          <rPr>
            <sz val="11"/>
            <color theme="1"/>
            <rFont val="Calibri"/>
            <family val="2"/>
            <scheme val="minor"/>
          </rPr>
          <t>Seleccione un valor de la lista</t>
        </r>
      </text>
    </comment>
    <comment ref="F1469" authorId="2">
      <text>
        <r>
          <rPr>
            <sz val="11"/>
            <color theme="1"/>
            <rFont val="Calibri"/>
            <family val="2"/>
            <scheme val="minor"/>
          </rPr>
          <t>Introduzca el código SNIP</t>
        </r>
      </text>
    </comment>
    <comment ref="C1470" authorId="2">
      <text>
        <r>
          <rPr>
            <sz val="11"/>
            <color theme="1"/>
            <rFont val="Calibri"/>
            <family val="2"/>
            <scheme val="minor"/>
          </rPr>
          <t>Introduzca la fecha de inicio del proceso, en formato dd-mm-aaaa</t>
        </r>
      </text>
    </comment>
    <comment ref="F147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71" authorId="2">
      <text/>
    </comment>
    <comment ref="C1472" authorId="2">
      <text>
        <r>
          <rPr>
            <sz val="11"/>
            <color theme="1"/>
            <rFont val="Calibri"/>
            <family val="2"/>
            <scheme val="minor"/>
          </rPr>
          <t>Introduzca la fecha prevista de adjudicación, en formato dd-mm-aaaa</t>
        </r>
      </text>
    </comment>
    <comment ref="F1472" authorId="2">
      <text/>
    </comment>
    <comment ref="F1473" authorId="2">
      <text/>
    </comment>
    <comment ref="A1475" authorId="2">
      <text>
        <r>
          <rPr>
            <sz val="11"/>
            <color theme="1"/>
            <rFont val="Calibri"/>
            <family val="2"/>
            <scheme val="minor"/>
          </rPr>
          <t>Introduzca un codigo UNSPSC</t>
        </r>
      </text>
    </comment>
    <comment ref="B1475" authorId="2">
      <text>
        <r>
          <rPr>
            <sz val="11"/>
            <color theme="1"/>
            <rFont val="Calibri"/>
            <family val="2"/>
            <scheme val="minor"/>
          </rPr>
          <t>Descripción calculada automáticamente a partir de código del artículo</t>
        </r>
      </text>
    </comment>
    <comment ref="C1475" authorId="2">
      <text>
        <r>
          <rPr>
            <sz val="11"/>
            <color theme="1"/>
            <rFont val="Calibri"/>
            <family val="2"/>
            <scheme val="minor"/>
          </rPr>
          <t>Seleccione un valor de la lista</t>
        </r>
      </text>
    </comment>
    <comment ref="D1475" authorId="2">
      <text>
        <r>
          <rPr>
            <sz val="11"/>
            <color theme="1"/>
            <rFont val="Calibri"/>
            <family val="2"/>
            <scheme val="minor"/>
          </rPr>
          <t>Introduzca un número con dos decimales como máximo. Debe ser igual o mayor a la "Cantidad Real Consumida"</t>
        </r>
      </text>
    </comment>
    <comment ref="E1475" authorId="2">
      <text>
        <r>
          <rPr>
            <sz val="11"/>
            <color theme="1"/>
            <rFont val="Calibri"/>
            <family val="2"/>
            <scheme val="minor"/>
          </rPr>
          <t>Introduzca un número con dos decimales como máximo</t>
        </r>
      </text>
    </comment>
    <comment ref="F1475" authorId="2">
      <text>
        <r>
          <rPr>
            <sz val="11"/>
            <color theme="1"/>
            <rFont val="Calibri"/>
            <family val="2"/>
            <scheme val="minor"/>
          </rPr>
          <t>Monto calculado automáticamente por el sistema</t>
        </r>
      </text>
    </comment>
    <comment ref="A1481" authorId="2">
      <text>
        <r>
          <rPr>
            <sz val="11"/>
            <color theme="1"/>
            <rFont val="Calibri"/>
            <family val="2"/>
            <scheme val="minor"/>
          </rPr>
          <t>Introducir un texto con el nombre o referencia de la contratación</t>
        </r>
      </text>
    </comment>
    <comment ref="B1481" authorId="2">
      <text>
        <r>
          <rPr>
            <sz val="11"/>
            <color theme="1"/>
            <rFont val="Calibri"/>
            <family val="2"/>
            <scheme val="minor"/>
          </rPr>
          <t>Introduzca un texto con la finalidad de la contratación</t>
        </r>
      </text>
    </comment>
    <comment ref="C1481" authorId="2">
      <text>
        <r>
          <rPr>
            <sz val="11"/>
            <color theme="1"/>
            <rFont val="Calibri"/>
            <family val="2"/>
            <scheme val="minor"/>
          </rPr>
          <t>Seleccionar un valor del listado</t>
        </r>
      </text>
    </comment>
    <comment ref="D1481" authorId="1">
      <text>
        <r>
          <rPr>
            <sz val="11"/>
            <color theme="1"/>
            <rFont val="Calibri"/>
            <family val="2"/>
            <scheme val="minor"/>
          </rPr>
          <t>Seleccione el tipo de procedimiento</t>
        </r>
      </text>
    </comment>
    <comment ref="E1481" authorId="1">
      <text>
        <r>
          <rPr>
            <sz val="11"/>
            <color theme="1"/>
            <rFont val="Calibri"/>
            <family val="2"/>
            <scheme val="minor"/>
          </rPr>
          <t>Seleccione un valor de la lista</t>
        </r>
      </text>
    </comment>
    <comment ref="F1481" authorId="2">
      <text>
        <r>
          <rPr>
            <sz val="11"/>
            <color theme="1"/>
            <rFont val="Calibri"/>
            <family val="2"/>
            <scheme val="minor"/>
          </rPr>
          <t>Introduzca el código SNIP</t>
        </r>
      </text>
    </comment>
    <comment ref="C1482" authorId="2">
      <text>
        <r>
          <rPr>
            <sz val="11"/>
            <color theme="1"/>
            <rFont val="Calibri"/>
            <family val="2"/>
            <scheme val="minor"/>
          </rPr>
          <t>Introduzca la fecha de inicio del proceso, en formato dd-mm-aaaa</t>
        </r>
      </text>
    </comment>
    <comment ref="F148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83" authorId="2">
      <text/>
    </comment>
    <comment ref="C1484" authorId="2">
      <text>
        <r>
          <rPr>
            <sz val="11"/>
            <color theme="1"/>
            <rFont val="Calibri"/>
            <family val="2"/>
            <scheme val="minor"/>
          </rPr>
          <t>Introduzca la fecha prevista de adjudicación, en formato dd-mm-aaaa</t>
        </r>
      </text>
    </comment>
    <comment ref="F1484" authorId="2">
      <text/>
    </comment>
    <comment ref="F1485" authorId="2">
      <text/>
    </comment>
    <comment ref="A1487" authorId="2">
      <text>
        <r>
          <rPr>
            <sz val="11"/>
            <color theme="1"/>
            <rFont val="Calibri"/>
            <family val="2"/>
            <scheme val="minor"/>
          </rPr>
          <t>Introduzca un codigo UNSPSC</t>
        </r>
      </text>
    </comment>
    <comment ref="B1487" authorId="2">
      <text>
        <r>
          <rPr>
            <sz val="11"/>
            <color theme="1"/>
            <rFont val="Calibri"/>
            <family val="2"/>
            <scheme val="minor"/>
          </rPr>
          <t>Descripción calculada automáticamente a partir de código del artículo</t>
        </r>
      </text>
    </comment>
    <comment ref="C1487" authorId="2">
      <text>
        <r>
          <rPr>
            <sz val="11"/>
            <color theme="1"/>
            <rFont val="Calibri"/>
            <family val="2"/>
            <scheme val="minor"/>
          </rPr>
          <t>Seleccione un valor de la lista</t>
        </r>
      </text>
    </comment>
    <comment ref="D1487" authorId="2">
      <text>
        <r>
          <rPr>
            <sz val="11"/>
            <color theme="1"/>
            <rFont val="Calibri"/>
            <family val="2"/>
            <scheme val="minor"/>
          </rPr>
          <t>Introduzca un número con dos decimales como máximo. Debe ser igual o mayor a la "Cantidad Real Consumida"</t>
        </r>
      </text>
    </comment>
    <comment ref="E1487" authorId="2">
      <text>
        <r>
          <rPr>
            <sz val="11"/>
            <color theme="1"/>
            <rFont val="Calibri"/>
            <family val="2"/>
            <scheme val="minor"/>
          </rPr>
          <t>Introduzca un número con dos decimales como máximo</t>
        </r>
      </text>
    </comment>
    <comment ref="F1487" authorId="2">
      <text>
        <r>
          <rPr>
            <sz val="11"/>
            <color theme="1"/>
            <rFont val="Calibri"/>
            <family val="2"/>
            <scheme val="minor"/>
          </rPr>
          <t>Monto calculado automáticamente por el sistema</t>
        </r>
      </text>
    </comment>
    <comment ref="A1500" authorId="2">
      <text>
        <r>
          <rPr>
            <sz val="11"/>
            <color theme="1"/>
            <rFont val="Calibri"/>
            <family val="2"/>
            <scheme val="minor"/>
          </rPr>
          <t>Introducir un texto con el nombre o referencia de la contratación</t>
        </r>
      </text>
    </comment>
    <comment ref="B1500" authorId="2">
      <text>
        <r>
          <rPr>
            <sz val="11"/>
            <color theme="1"/>
            <rFont val="Calibri"/>
            <family val="2"/>
            <scheme val="minor"/>
          </rPr>
          <t>Introduzca un texto con la finalidad de la contratación</t>
        </r>
      </text>
    </comment>
    <comment ref="C1500" authorId="2">
      <text>
        <r>
          <rPr>
            <sz val="11"/>
            <color theme="1"/>
            <rFont val="Calibri"/>
            <family val="2"/>
            <scheme val="minor"/>
          </rPr>
          <t>Seleccionar un valor del listado</t>
        </r>
      </text>
    </comment>
    <comment ref="D1500" authorId="1">
      <text>
        <r>
          <rPr>
            <sz val="11"/>
            <color theme="1"/>
            <rFont val="Calibri"/>
            <family val="2"/>
            <scheme val="minor"/>
          </rPr>
          <t>Seleccione el tipo de procedimiento</t>
        </r>
      </text>
    </comment>
    <comment ref="E1500" authorId="2">
      <text>
        <r>
          <rPr>
            <sz val="11"/>
            <color theme="1"/>
            <rFont val="Calibri"/>
            <family val="2"/>
            <scheme val="minor"/>
          </rPr>
          <t>Seleccione un valor de la lista</t>
        </r>
      </text>
    </comment>
    <comment ref="F1500" authorId="2">
      <text>
        <r>
          <rPr>
            <sz val="11"/>
            <color theme="1"/>
            <rFont val="Calibri"/>
            <family val="2"/>
            <scheme val="minor"/>
          </rPr>
          <t>Introduzca el código SNIP</t>
        </r>
      </text>
    </comment>
    <comment ref="C1501" authorId="2">
      <text>
        <r>
          <rPr>
            <sz val="11"/>
            <color theme="1"/>
            <rFont val="Calibri"/>
            <family val="2"/>
            <scheme val="minor"/>
          </rPr>
          <t>Introduzca la fecha de inicio del proceso, en formato dd-mm-aaaa</t>
        </r>
      </text>
    </comment>
    <comment ref="F150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2" authorId="2">
      <text/>
    </comment>
    <comment ref="C1503" authorId="2">
      <text>
        <r>
          <rPr>
            <sz val="11"/>
            <color theme="1"/>
            <rFont val="Calibri"/>
            <family val="2"/>
            <scheme val="minor"/>
          </rPr>
          <t>Introduzca la fecha prevista de adjudicación, en formato dd-mm-aaaa</t>
        </r>
      </text>
    </comment>
    <comment ref="F1503" authorId="2">
      <text/>
    </comment>
    <comment ref="F1504" authorId="2">
      <text/>
    </comment>
    <comment ref="A1506" authorId="2">
      <text>
        <r>
          <rPr>
            <sz val="11"/>
            <color theme="1"/>
            <rFont val="Calibri"/>
            <family val="2"/>
            <scheme val="minor"/>
          </rPr>
          <t>Introduzca un codigo UNSPSC</t>
        </r>
      </text>
    </comment>
    <comment ref="B1506" authorId="2">
      <text>
        <r>
          <rPr>
            <sz val="11"/>
            <color theme="1"/>
            <rFont val="Calibri"/>
            <family val="2"/>
            <scheme val="minor"/>
          </rPr>
          <t>Descripción calculada automáticamente a partir de código del artículo</t>
        </r>
      </text>
    </comment>
    <comment ref="C1506" authorId="2">
      <text>
        <r>
          <rPr>
            <sz val="11"/>
            <color theme="1"/>
            <rFont val="Calibri"/>
            <family val="2"/>
            <scheme val="minor"/>
          </rPr>
          <t>Seleccione un valor de la lista</t>
        </r>
      </text>
    </comment>
    <comment ref="D1506" authorId="2">
      <text>
        <r>
          <rPr>
            <sz val="11"/>
            <color theme="1"/>
            <rFont val="Calibri"/>
            <family val="2"/>
            <scheme val="minor"/>
          </rPr>
          <t>Introduzca un número con dos decimales como máximo. Debe ser igual o mayor a la "Cantidad Real Consumida"</t>
        </r>
      </text>
    </comment>
    <comment ref="E1506" authorId="2">
      <text>
        <r>
          <rPr>
            <sz val="11"/>
            <color theme="1"/>
            <rFont val="Calibri"/>
            <family val="2"/>
            <scheme val="minor"/>
          </rPr>
          <t>Introduzca un número con dos decimales como máximo</t>
        </r>
      </text>
    </comment>
    <comment ref="F1506" authorId="2">
      <text>
        <r>
          <rPr>
            <sz val="11"/>
            <color theme="1"/>
            <rFont val="Calibri"/>
            <family val="2"/>
            <scheme val="minor"/>
          </rPr>
          <t>Monto calculado automáticamente por el sistema</t>
        </r>
      </text>
    </comment>
    <comment ref="A1511" authorId="2">
      <text>
        <r>
          <rPr>
            <sz val="11"/>
            <color theme="1"/>
            <rFont val="Calibri"/>
            <family val="2"/>
            <scheme val="minor"/>
          </rPr>
          <t>Introducir un texto con el nombre o referencia de la contratación</t>
        </r>
      </text>
    </comment>
    <comment ref="B1511" authorId="2">
      <text>
        <r>
          <rPr>
            <sz val="11"/>
            <color theme="1"/>
            <rFont val="Calibri"/>
            <family val="2"/>
            <scheme val="minor"/>
          </rPr>
          <t>Introduzca un texto con la finalidad de la contratación</t>
        </r>
      </text>
    </comment>
    <comment ref="C1511" authorId="2">
      <text>
        <r>
          <rPr>
            <sz val="11"/>
            <color theme="1"/>
            <rFont val="Calibri"/>
            <family val="2"/>
            <scheme val="minor"/>
          </rPr>
          <t>Seleccionar un valor del listado</t>
        </r>
      </text>
    </comment>
    <comment ref="D1511" authorId="1">
      <text>
        <r>
          <rPr>
            <sz val="11"/>
            <color theme="1"/>
            <rFont val="Calibri"/>
            <family val="2"/>
            <scheme val="minor"/>
          </rPr>
          <t>Seleccione el tipo de procedimiento</t>
        </r>
      </text>
    </comment>
    <comment ref="E1511" authorId="1">
      <text>
        <r>
          <rPr>
            <sz val="11"/>
            <color theme="1"/>
            <rFont val="Calibri"/>
            <family val="2"/>
            <scheme val="minor"/>
          </rPr>
          <t>Seleccione un valor de la lista</t>
        </r>
      </text>
    </comment>
    <comment ref="F1511" authorId="2">
      <text>
        <r>
          <rPr>
            <sz val="11"/>
            <color theme="1"/>
            <rFont val="Calibri"/>
            <family val="2"/>
            <scheme val="minor"/>
          </rPr>
          <t>Introduzca el código SNIP</t>
        </r>
      </text>
    </comment>
    <comment ref="C1512" authorId="2">
      <text>
        <r>
          <rPr>
            <sz val="11"/>
            <color theme="1"/>
            <rFont val="Calibri"/>
            <family val="2"/>
            <scheme val="minor"/>
          </rPr>
          <t>Introduzca la fecha de inicio del proceso, en formato dd-mm-aaaa</t>
        </r>
      </text>
    </comment>
    <comment ref="F151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13" authorId="2">
      <text/>
    </comment>
    <comment ref="C1514" authorId="2">
      <text>
        <r>
          <rPr>
            <sz val="11"/>
            <color theme="1"/>
            <rFont val="Calibri"/>
            <family val="2"/>
            <scheme val="minor"/>
          </rPr>
          <t>Introduzca la fecha prevista de adjudicación, en formato dd-mm-aaaa</t>
        </r>
      </text>
    </comment>
    <comment ref="F1514" authorId="2">
      <text/>
    </comment>
    <comment ref="F1515" authorId="2">
      <text/>
    </comment>
    <comment ref="A1517" authorId="2">
      <text>
        <r>
          <rPr>
            <sz val="11"/>
            <color theme="1"/>
            <rFont val="Calibri"/>
            <family val="2"/>
            <scheme val="minor"/>
          </rPr>
          <t>Introduzca un codigo UNSPSC</t>
        </r>
      </text>
    </comment>
    <comment ref="B1517" authorId="2">
      <text>
        <r>
          <rPr>
            <sz val="11"/>
            <color theme="1"/>
            <rFont val="Calibri"/>
            <family val="2"/>
            <scheme val="minor"/>
          </rPr>
          <t>Descripción calculada automáticamente a partir de código del artículo</t>
        </r>
      </text>
    </comment>
    <comment ref="C1517" authorId="2">
      <text>
        <r>
          <rPr>
            <sz val="11"/>
            <color theme="1"/>
            <rFont val="Calibri"/>
            <family val="2"/>
            <scheme val="minor"/>
          </rPr>
          <t>Seleccione un valor de la lista</t>
        </r>
      </text>
    </comment>
    <comment ref="D1517" authorId="2">
      <text>
        <r>
          <rPr>
            <sz val="11"/>
            <color theme="1"/>
            <rFont val="Calibri"/>
            <family val="2"/>
            <scheme val="minor"/>
          </rPr>
          <t>Introduzca un número con dos decimales como máximo. Debe ser igual o mayor a la "Cantidad Real Consumida"</t>
        </r>
      </text>
    </comment>
    <comment ref="E1517" authorId="2">
      <text>
        <r>
          <rPr>
            <sz val="11"/>
            <color theme="1"/>
            <rFont val="Calibri"/>
            <family val="2"/>
            <scheme val="minor"/>
          </rPr>
          <t>Introduzca un número con dos decimales como máximo</t>
        </r>
      </text>
    </comment>
    <comment ref="F1517" authorId="2">
      <text>
        <r>
          <rPr>
            <sz val="11"/>
            <color theme="1"/>
            <rFont val="Calibri"/>
            <family val="2"/>
            <scheme val="minor"/>
          </rPr>
          <t>Monto calculado automáticamente por el sistema</t>
        </r>
      </text>
    </comment>
    <comment ref="A1522" authorId="2">
      <text>
        <r>
          <rPr>
            <sz val="11"/>
            <color theme="1"/>
            <rFont val="Calibri"/>
            <family val="2"/>
            <scheme val="minor"/>
          </rPr>
          <t>Introducir un texto con el nombre o referencia de la contratación</t>
        </r>
      </text>
    </comment>
    <comment ref="B1522" authorId="2">
      <text>
        <r>
          <rPr>
            <sz val="11"/>
            <color theme="1"/>
            <rFont val="Calibri"/>
            <family val="2"/>
            <scheme val="minor"/>
          </rPr>
          <t>Introduzca un texto con la finalidad de la contratación</t>
        </r>
      </text>
    </comment>
    <comment ref="C1522" authorId="2">
      <text>
        <r>
          <rPr>
            <sz val="11"/>
            <color theme="1"/>
            <rFont val="Calibri"/>
            <family val="2"/>
            <scheme val="minor"/>
          </rPr>
          <t>Seleccionar un valor del listado</t>
        </r>
      </text>
    </comment>
    <comment ref="D1522" authorId="1">
      <text>
        <r>
          <rPr>
            <sz val="11"/>
            <color theme="1"/>
            <rFont val="Calibri"/>
            <family val="2"/>
            <scheme val="minor"/>
          </rPr>
          <t>Seleccione el tipo de procedimiento</t>
        </r>
      </text>
    </comment>
    <comment ref="E1522" authorId="1">
      <text>
        <r>
          <rPr>
            <sz val="11"/>
            <color theme="1"/>
            <rFont val="Calibri"/>
            <family val="2"/>
            <scheme val="minor"/>
          </rPr>
          <t>Seleccione un valor de la lista</t>
        </r>
      </text>
    </comment>
    <comment ref="F1522" authorId="2">
      <text>
        <r>
          <rPr>
            <sz val="11"/>
            <color theme="1"/>
            <rFont val="Calibri"/>
            <family val="2"/>
            <scheme val="minor"/>
          </rPr>
          <t>Introduzca el código SNIP</t>
        </r>
      </text>
    </comment>
    <comment ref="C1523" authorId="2">
      <text>
        <r>
          <rPr>
            <sz val="11"/>
            <color theme="1"/>
            <rFont val="Calibri"/>
            <family val="2"/>
            <scheme val="minor"/>
          </rPr>
          <t>Introduzca la fecha de inicio del proceso, en formato dd-mm-aaaa</t>
        </r>
      </text>
    </comment>
    <comment ref="F152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24" authorId="2">
      <text/>
    </comment>
    <comment ref="C1525" authorId="2">
      <text>
        <r>
          <rPr>
            <sz val="11"/>
            <color theme="1"/>
            <rFont val="Calibri"/>
            <family val="2"/>
            <scheme val="minor"/>
          </rPr>
          <t>Introduzca la fecha prevista de adjudicación, en formato dd-mm-aaaa</t>
        </r>
      </text>
    </comment>
    <comment ref="F1525" authorId="2">
      <text/>
    </comment>
    <comment ref="F1526" authorId="2">
      <text/>
    </comment>
    <comment ref="A1528" authorId="2">
      <text>
        <r>
          <rPr>
            <sz val="11"/>
            <color theme="1"/>
            <rFont val="Calibri"/>
            <family val="2"/>
            <scheme val="minor"/>
          </rPr>
          <t>Introduzca un codigo UNSPSC</t>
        </r>
      </text>
    </comment>
    <comment ref="B1528" authorId="2">
      <text>
        <r>
          <rPr>
            <sz val="11"/>
            <color theme="1"/>
            <rFont val="Calibri"/>
            <family val="2"/>
            <scheme val="minor"/>
          </rPr>
          <t>Descripción calculada automáticamente a partir de código del artículo</t>
        </r>
      </text>
    </comment>
    <comment ref="C1528" authorId="2">
      <text>
        <r>
          <rPr>
            <sz val="11"/>
            <color theme="1"/>
            <rFont val="Calibri"/>
            <family val="2"/>
            <scheme val="minor"/>
          </rPr>
          <t>Seleccione un valor de la lista</t>
        </r>
      </text>
    </comment>
    <comment ref="D1528" authorId="2">
      <text>
        <r>
          <rPr>
            <sz val="11"/>
            <color theme="1"/>
            <rFont val="Calibri"/>
            <family val="2"/>
            <scheme val="minor"/>
          </rPr>
          <t>Introduzca un número con dos decimales como máximo. Debe ser igual o mayor a la "Cantidad Real Consumida"</t>
        </r>
      </text>
    </comment>
    <comment ref="E1528" authorId="2">
      <text>
        <r>
          <rPr>
            <sz val="11"/>
            <color theme="1"/>
            <rFont val="Calibri"/>
            <family val="2"/>
            <scheme val="minor"/>
          </rPr>
          <t>Introduzca un número con dos decimales como máximo</t>
        </r>
      </text>
    </comment>
    <comment ref="F1528" authorId="2">
      <text>
        <r>
          <rPr>
            <sz val="11"/>
            <color theme="1"/>
            <rFont val="Calibri"/>
            <family val="2"/>
            <scheme val="minor"/>
          </rPr>
          <t>Monto calculado automáticamente por el sistema</t>
        </r>
      </text>
    </comment>
    <comment ref="A1548" authorId="2">
      <text>
        <r>
          <rPr>
            <sz val="11"/>
            <color theme="1"/>
            <rFont val="Calibri"/>
            <family val="2"/>
            <scheme val="minor"/>
          </rPr>
          <t>Introducir un texto con el nombre o referencia de la contratación</t>
        </r>
      </text>
    </comment>
    <comment ref="B1548" authorId="2">
      <text>
        <r>
          <rPr>
            <sz val="11"/>
            <color theme="1"/>
            <rFont val="Calibri"/>
            <family val="2"/>
            <scheme val="minor"/>
          </rPr>
          <t>Introduzca un texto con la finalidad de la contratación</t>
        </r>
      </text>
    </comment>
    <comment ref="C1548" authorId="2">
      <text>
        <r>
          <rPr>
            <sz val="11"/>
            <color theme="1"/>
            <rFont val="Calibri"/>
            <family val="2"/>
            <scheme val="minor"/>
          </rPr>
          <t>Seleccionar un valor del listado</t>
        </r>
      </text>
    </comment>
    <comment ref="D1548" authorId="1">
      <text>
        <r>
          <rPr>
            <sz val="11"/>
            <color theme="1"/>
            <rFont val="Calibri"/>
            <family val="2"/>
            <scheme val="minor"/>
          </rPr>
          <t>Seleccione el tipo de procedimiento</t>
        </r>
      </text>
    </comment>
    <comment ref="E1548" authorId="1">
      <text>
        <r>
          <rPr>
            <sz val="11"/>
            <color theme="1"/>
            <rFont val="Calibri"/>
            <family val="2"/>
            <scheme val="minor"/>
          </rPr>
          <t>Seleccione un valor de la lista</t>
        </r>
      </text>
    </comment>
    <comment ref="F1548" authorId="2">
      <text>
        <r>
          <rPr>
            <sz val="11"/>
            <color theme="1"/>
            <rFont val="Calibri"/>
            <family val="2"/>
            <scheme val="minor"/>
          </rPr>
          <t>Introduzca el código SNIP</t>
        </r>
      </text>
    </comment>
    <comment ref="C1549" authorId="2">
      <text>
        <r>
          <rPr>
            <sz val="11"/>
            <color theme="1"/>
            <rFont val="Calibri"/>
            <family val="2"/>
            <scheme val="minor"/>
          </rPr>
          <t>Introduzca la fecha de inicio del proceso, en formato dd-mm-aaaa</t>
        </r>
      </text>
    </comment>
    <comment ref="F154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50" authorId="2">
      <text/>
    </comment>
    <comment ref="C1551" authorId="2">
      <text>
        <r>
          <rPr>
            <sz val="11"/>
            <color theme="1"/>
            <rFont val="Calibri"/>
            <family val="2"/>
            <scheme val="minor"/>
          </rPr>
          <t>Introduzca la fecha prevista de adjudicación, en formato dd-mm-aaaa</t>
        </r>
      </text>
    </comment>
    <comment ref="F1551" authorId="2">
      <text/>
    </comment>
    <comment ref="F1552" authorId="2">
      <text/>
    </comment>
    <comment ref="A1554" authorId="2">
      <text>
        <r>
          <rPr>
            <sz val="11"/>
            <color theme="1"/>
            <rFont val="Calibri"/>
            <family val="2"/>
            <scheme val="minor"/>
          </rPr>
          <t>Introduzca un codigo UNSPSC</t>
        </r>
      </text>
    </comment>
    <comment ref="B1554" authorId="2">
      <text>
        <r>
          <rPr>
            <sz val="11"/>
            <color theme="1"/>
            <rFont val="Calibri"/>
            <family val="2"/>
            <scheme val="minor"/>
          </rPr>
          <t>Descripción calculada automáticamente a partir de código del artículo</t>
        </r>
      </text>
    </comment>
    <comment ref="C1554" authorId="2">
      <text>
        <r>
          <rPr>
            <sz val="11"/>
            <color theme="1"/>
            <rFont val="Calibri"/>
            <family val="2"/>
            <scheme val="minor"/>
          </rPr>
          <t>Seleccione un valor de la lista</t>
        </r>
      </text>
    </comment>
    <comment ref="D1554" authorId="2">
      <text>
        <r>
          <rPr>
            <sz val="11"/>
            <color theme="1"/>
            <rFont val="Calibri"/>
            <family val="2"/>
            <scheme val="minor"/>
          </rPr>
          <t>Introduzca un número con dos decimales como máximo. Debe ser igual o mayor a la "Cantidad Real Consumida"</t>
        </r>
      </text>
    </comment>
    <comment ref="E1554" authorId="2">
      <text>
        <r>
          <rPr>
            <sz val="11"/>
            <color theme="1"/>
            <rFont val="Calibri"/>
            <family val="2"/>
            <scheme val="minor"/>
          </rPr>
          <t>Introduzca un número con dos decimales como máximo</t>
        </r>
      </text>
    </comment>
    <comment ref="F1554" authorId="2">
      <text>
        <r>
          <rPr>
            <sz val="11"/>
            <color theme="1"/>
            <rFont val="Calibri"/>
            <family val="2"/>
            <scheme val="minor"/>
          </rPr>
          <t>Monto calculado automáticamente por el sistema</t>
        </r>
      </text>
    </comment>
    <comment ref="A1568" authorId="2">
      <text>
        <r>
          <rPr>
            <sz val="11"/>
            <color theme="1"/>
            <rFont val="Calibri"/>
            <family val="2"/>
            <scheme val="minor"/>
          </rPr>
          <t>Introducir un texto con el nombre o referencia de la contratación</t>
        </r>
      </text>
    </comment>
    <comment ref="B1568" authorId="2">
      <text>
        <r>
          <rPr>
            <sz val="11"/>
            <color theme="1"/>
            <rFont val="Calibri"/>
            <family val="2"/>
            <scheme val="minor"/>
          </rPr>
          <t>Introduzca un texto con la finalidad de la contratación</t>
        </r>
      </text>
    </comment>
    <comment ref="C1568" authorId="2">
      <text>
        <r>
          <rPr>
            <sz val="11"/>
            <color theme="1"/>
            <rFont val="Calibri"/>
            <family val="2"/>
            <scheme val="minor"/>
          </rPr>
          <t>Seleccionar un valor del listado</t>
        </r>
      </text>
    </comment>
    <comment ref="D1568" authorId="1">
      <text>
        <r>
          <rPr>
            <sz val="11"/>
            <color theme="1"/>
            <rFont val="Calibri"/>
            <family val="2"/>
            <scheme val="minor"/>
          </rPr>
          <t>Seleccione el tipo de procedimiento</t>
        </r>
      </text>
    </comment>
    <comment ref="E1568" authorId="2">
      <text>
        <r>
          <rPr>
            <sz val="11"/>
            <color theme="1"/>
            <rFont val="Calibri"/>
            <family val="2"/>
            <scheme val="minor"/>
          </rPr>
          <t>Seleccione un valor de la lista</t>
        </r>
      </text>
    </comment>
    <comment ref="F1568" authorId="2">
      <text>
        <r>
          <rPr>
            <sz val="11"/>
            <color theme="1"/>
            <rFont val="Calibri"/>
            <family val="2"/>
            <scheme val="minor"/>
          </rPr>
          <t>Introduzca el código SNIP</t>
        </r>
      </text>
    </comment>
    <comment ref="C1569" authorId="2">
      <text>
        <r>
          <rPr>
            <sz val="11"/>
            <color theme="1"/>
            <rFont val="Calibri"/>
            <family val="2"/>
            <scheme val="minor"/>
          </rPr>
          <t>Introduzca la fecha de inicio del proceso, en formato dd-mm-aaaa</t>
        </r>
      </text>
    </comment>
    <comment ref="F156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70" authorId="2">
      <text/>
    </comment>
    <comment ref="C1571" authorId="2">
      <text>
        <r>
          <rPr>
            <sz val="11"/>
            <color theme="1"/>
            <rFont val="Calibri"/>
            <family val="2"/>
            <scheme val="minor"/>
          </rPr>
          <t>Introduzca la fecha prevista de adjudicación, en formato dd-mm-aaaa</t>
        </r>
      </text>
    </comment>
    <comment ref="F1571" authorId="2">
      <text/>
    </comment>
    <comment ref="F1572" authorId="2">
      <text/>
    </comment>
    <comment ref="A1574" authorId="2">
      <text>
        <r>
          <rPr>
            <sz val="11"/>
            <color theme="1"/>
            <rFont val="Calibri"/>
            <family val="2"/>
            <scheme val="minor"/>
          </rPr>
          <t>Introduzca un codigo UNSPSC</t>
        </r>
      </text>
    </comment>
    <comment ref="B1574" authorId="2">
      <text>
        <r>
          <rPr>
            <sz val="11"/>
            <color theme="1"/>
            <rFont val="Calibri"/>
            <family val="2"/>
            <scheme val="minor"/>
          </rPr>
          <t>Descripción calculada automáticamente a partir de código del artículo</t>
        </r>
      </text>
    </comment>
    <comment ref="C1574" authorId="2">
      <text>
        <r>
          <rPr>
            <sz val="11"/>
            <color theme="1"/>
            <rFont val="Calibri"/>
            <family val="2"/>
            <scheme val="minor"/>
          </rPr>
          <t>Seleccione un valor de la lista</t>
        </r>
      </text>
    </comment>
    <comment ref="D1574" authorId="2">
      <text>
        <r>
          <rPr>
            <sz val="11"/>
            <color theme="1"/>
            <rFont val="Calibri"/>
            <family val="2"/>
            <scheme val="minor"/>
          </rPr>
          <t>Introduzca un número con dos decimales como máximo. Debe ser igual o mayor a la "Cantidad Real Consumida"</t>
        </r>
      </text>
    </comment>
    <comment ref="E1574" authorId="2">
      <text>
        <r>
          <rPr>
            <sz val="11"/>
            <color theme="1"/>
            <rFont val="Calibri"/>
            <family val="2"/>
            <scheme val="minor"/>
          </rPr>
          <t>Introduzca un número con dos decimales como máximo</t>
        </r>
      </text>
    </comment>
    <comment ref="F1574" authorId="2">
      <text>
        <r>
          <rPr>
            <sz val="11"/>
            <color theme="1"/>
            <rFont val="Calibri"/>
            <family val="2"/>
            <scheme val="minor"/>
          </rPr>
          <t>Monto calculado automáticamente por el sistema</t>
        </r>
      </text>
    </comment>
    <comment ref="A1582" authorId="2">
      <text>
        <r>
          <rPr>
            <sz val="11"/>
            <color theme="1"/>
            <rFont val="Calibri"/>
            <family val="2"/>
            <scheme val="minor"/>
          </rPr>
          <t>Introducir un texto con el nombre o referencia de la contratación</t>
        </r>
      </text>
    </comment>
    <comment ref="B1582" authorId="2">
      <text>
        <r>
          <rPr>
            <sz val="11"/>
            <color theme="1"/>
            <rFont val="Calibri"/>
            <family val="2"/>
            <scheme val="minor"/>
          </rPr>
          <t>Introduzca un texto con la finalidad de la contratación</t>
        </r>
      </text>
    </comment>
    <comment ref="C1582" authorId="2">
      <text>
        <r>
          <rPr>
            <sz val="11"/>
            <color theme="1"/>
            <rFont val="Calibri"/>
            <family val="2"/>
            <scheme val="minor"/>
          </rPr>
          <t>Seleccionar un valor del listado</t>
        </r>
      </text>
    </comment>
    <comment ref="D1582" authorId="1">
      <text>
        <r>
          <rPr>
            <sz val="11"/>
            <color theme="1"/>
            <rFont val="Calibri"/>
            <family val="2"/>
            <scheme val="minor"/>
          </rPr>
          <t>Seleccione el tipo de procedimiento</t>
        </r>
      </text>
    </comment>
    <comment ref="E1582" authorId="2">
      <text>
        <r>
          <rPr>
            <sz val="11"/>
            <color theme="1"/>
            <rFont val="Calibri"/>
            <family val="2"/>
            <scheme val="minor"/>
          </rPr>
          <t>Seleccione un valor de la lista</t>
        </r>
      </text>
    </comment>
    <comment ref="F1582" authorId="2">
      <text>
        <r>
          <rPr>
            <sz val="11"/>
            <color theme="1"/>
            <rFont val="Calibri"/>
            <family val="2"/>
            <scheme val="minor"/>
          </rPr>
          <t>Introduzca el código SNIP</t>
        </r>
      </text>
    </comment>
    <comment ref="C1583" authorId="2">
      <text>
        <r>
          <rPr>
            <sz val="11"/>
            <color theme="1"/>
            <rFont val="Calibri"/>
            <family val="2"/>
            <scheme val="minor"/>
          </rPr>
          <t>Introduzca la fecha de inicio del proceso, en formato dd-mm-aaaa</t>
        </r>
      </text>
    </comment>
    <comment ref="F158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4" authorId="2">
      <text/>
    </comment>
    <comment ref="C1585" authorId="2">
      <text>
        <r>
          <rPr>
            <sz val="11"/>
            <color theme="1"/>
            <rFont val="Calibri"/>
            <family val="2"/>
            <scheme val="minor"/>
          </rPr>
          <t>Introduzca la fecha prevista de adjudicación, en formato dd-mm-aaaa</t>
        </r>
      </text>
    </comment>
    <comment ref="F1585" authorId="2">
      <text/>
    </comment>
    <comment ref="F1586" authorId="2">
      <text/>
    </comment>
    <comment ref="A1588" authorId="2">
      <text>
        <r>
          <rPr>
            <sz val="11"/>
            <color theme="1"/>
            <rFont val="Calibri"/>
            <family val="2"/>
            <scheme val="minor"/>
          </rPr>
          <t>Introduzca un codigo UNSPSC</t>
        </r>
      </text>
    </comment>
    <comment ref="B1588" authorId="2">
      <text>
        <r>
          <rPr>
            <sz val="11"/>
            <color theme="1"/>
            <rFont val="Calibri"/>
            <family val="2"/>
            <scheme val="minor"/>
          </rPr>
          <t>Descripción calculada automáticamente a partir de código del artículo</t>
        </r>
      </text>
    </comment>
    <comment ref="C1588" authorId="2">
      <text>
        <r>
          <rPr>
            <sz val="11"/>
            <color theme="1"/>
            <rFont val="Calibri"/>
            <family val="2"/>
            <scheme val="minor"/>
          </rPr>
          <t>Seleccione un valor de la lista</t>
        </r>
      </text>
    </comment>
    <comment ref="D1588" authorId="2">
      <text>
        <r>
          <rPr>
            <sz val="11"/>
            <color theme="1"/>
            <rFont val="Calibri"/>
            <family val="2"/>
            <scheme val="minor"/>
          </rPr>
          <t>Introduzca un número con dos decimales como máximo. Debe ser igual o mayor a la "Cantidad Real Consumida"</t>
        </r>
      </text>
    </comment>
    <comment ref="E1588" authorId="2">
      <text>
        <r>
          <rPr>
            <sz val="11"/>
            <color theme="1"/>
            <rFont val="Calibri"/>
            <family val="2"/>
            <scheme val="minor"/>
          </rPr>
          <t>Introduzca un número con dos decimales como máximo</t>
        </r>
      </text>
    </comment>
    <comment ref="F1588" authorId="2">
      <text>
        <r>
          <rPr>
            <sz val="11"/>
            <color theme="1"/>
            <rFont val="Calibri"/>
            <family val="2"/>
            <scheme val="minor"/>
          </rPr>
          <t>Monto calculado automáticamente por el sistema</t>
        </r>
      </text>
    </comment>
    <comment ref="A1594" authorId="2">
      <text>
        <r>
          <rPr>
            <sz val="11"/>
            <color theme="1"/>
            <rFont val="Calibri"/>
            <family val="2"/>
            <scheme val="minor"/>
          </rPr>
          <t>Introducir un texto con el nombre o referencia de la contratación</t>
        </r>
      </text>
    </comment>
    <comment ref="B1594" authorId="2">
      <text>
        <r>
          <rPr>
            <sz val="11"/>
            <color theme="1"/>
            <rFont val="Calibri"/>
            <family val="2"/>
            <scheme val="minor"/>
          </rPr>
          <t>Introduzca un texto con la finalidad de la contratación</t>
        </r>
      </text>
    </comment>
    <comment ref="C1594" authorId="2">
      <text>
        <r>
          <rPr>
            <sz val="11"/>
            <color theme="1"/>
            <rFont val="Calibri"/>
            <family val="2"/>
            <scheme val="minor"/>
          </rPr>
          <t>Seleccionar un valor del listado</t>
        </r>
      </text>
    </comment>
    <comment ref="D1594" authorId="1">
      <text>
        <r>
          <rPr>
            <sz val="11"/>
            <color theme="1"/>
            <rFont val="Calibri"/>
            <family val="2"/>
            <scheme val="minor"/>
          </rPr>
          <t>Seleccione el tipo de procedimiento</t>
        </r>
      </text>
    </comment>
    <comment ref="E1594" authorId="1">
      <text>
        <r>
          <rPr>
            <sz val="11"/>
            <color theme="1"/>
            <rFont val="Calibri"/>
            <family val="2"/>
            <scheme val="minor"/>
          </rPr>
          <t>Seleccione un valor de la lista</t>
        </r>
      </text>
    </comment>
    <comment ref="F1594" authorId="2">
      <text>
        <r>
          <rPr>
            <sz val="11"/>
            <color theme="1"/>
            <rFont val="Calibri"/>
            <family val="2"/>
            <scheme val="minor"/>
          </rPr>
          <t>Introduzca el código SNIP</t>
        </r>
      </text>
    </comment>
    <comment ref="C1595" authorId="2">
      <text>
        <r>
          <rPr>
            <sz val="11"/>
            <color theme="1"/>
            <rFont val="Calibri"/>
            <family val="2"/>
            <scheme val="minor"/>
          </rPr>
          <t>Introduzca la fecha de inicio del proceso, en formato dd-mm-aaaa</t>
        </r>
      </text>
    </comment>
    <comment ref="F159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96" authorId="2">
      <text/>
    </comment>
    <comment ref="C1597" authorId="2">
      <text>
        <r>
          <rPr>
            <sz val="11"/>
            <color theme="1"/>
            <rFont val="Calibri"/>
            <family val="2"/>
            <scheme val="minor"/>
          </rPr>
          <t>Introduzca la fecha prevista de adjudicación, en formato dd-mm-aaaa</t>
        </r>
      </text>
    </comment>
    <comment ref="F1597" authorId="2">
      <text/>
    </comment>
    <comment ref="F1598" authorId="2">
      <text/>
    </comment>
    <comment ref="A1600" authorId="2">
      <text>
        <r>
          <rPr>
            <sz val="11"/>
            <color theme="1"/>
            <rFont val="Calibri"/>
            <family val="2"/>
            <scheme val="minor"/>
          </rPr>
          <t>Introduzca un codigo UNSPSC</t>
        </r>
      </text>
    </comment>
    <comment ref="B1600" authorId="2">
      <text>
        <r>
          <rPr>
            <sz val="11"/>
            <color theme="1"/>
            <rFont val="Calibri"/>
            <family val="2"/>
            <scheme val="minor"/>
          </rPr>
          <t>Descripción calculada automáticamente a partir de código del artículo</t>
        </r>
      </text>
    </comment>
    <comment ref="C1600" authorId="2">
      <text>
        <r>
          <rPr>
            <sz val="11"/>
            <color theme="1"/>
            <rFont val="Calibri"/>
            <family val="2"/>
            <scheme val="minor"/>
          </rPr>
          <t>Seleccione un valor de la lista</t>
        </r>
      </text>
    </comment>
    <comment ref="D1600" authorId="2">
      <text>
        <r>
          <rPr>
            <sz val="11"/>
            <color theme="1"/>
            <rFont val="Calibri"/>
            <family val="2"/>
            <scheme val="minor"/>
          </rPr>
          <t>Introduzca un número con dos decimales como máximo. Debe ser igual o mayor a la "Cantidad Real Consumida"</t>
        </r>
      </text>
    </comment>
    <comment ref="E1600" authorId="2">
      <text>
        <r>
          <rPr>
            <sz val="11"/>
            <color theme="1"/>
            <rFont val="Calibri"/>
            <family val="2"/>
            <scheme val="minor"/>
          </rPr>
          <t>Introduzca un número con dos decimales como máximo</t>
        </r>
      </text>
    </comment>
    <comment ref="F1600" authorId="2">
      <text>
        <r>
          <rPr>
            <sz val="11"/>
            <color theme="1"/>
            <rFont val="Calibri"/>
            <family val="2"/>
            <scheme val="minor"/>
          </rPr>
          <t>Monto calculado automáticamente por el sistema</t>
        </r>
      </text>
    </comment>
    <comment ref="A1608" authorId="2">
      <text>
        <r>
          <rPr>
            <sz val="11"/>
            <color theme="1"/>
            <rFont val="Calibri"/>
            <family val="2"/>
            <scheme val="minor"/>
          </rPr>
          <t>Introducir un texto con el nombre o referencia de la contratación</t>
        </r>
      </text>
    </comment>
    <comment ref="B1608" authorId="2">
      <text>
        <r>
          <rPr>
            <sz val="11"/>
            <color theme="1"/>
            <rFont val="Calibri"/>
            <family val="2"/>
            <scheme val="minor"/>
          </rPr>
          <t>Introduzca un texto con la finalidad de la contratación</t>
        </r>
      </text>
    </comment>
    <comment ref="C1608" authorId="2">
      <text>
        <r>
          <rPr>
            <sz val="11"/>
            <color theme="1"/>
            <rFont val="Calibri"/>
            <family val="2"/>
            <scheme val="minor"/>
          </rPr>
          <t>Seleccionar un valor del listado</t>
        </r>
      </text>
    </comment>
    <comment ref="D1608" authorId="1">
      <text>
        <r>
          <rPr>
            <sz val="11"/>
            <color theme="1"/>
            <rFont val="Calibri"/>
            <family val="2"/>
            <scheme val="minor"/>
          </rPr>
          <t>Seleccione el tipo de procedimiento</t>
        </r>
      </text>
    </comment>
    <comment ref="E1608" authorId="1">
      <text>
        <r>
          <rPr>
            <sz val="11"/>
            <color theme="1"/>
            <rFont val="Calibri"/>
            <family val="2"/>
            <scheme val="minor"/>
          </rPr>
          <t>Seleccione un valor de la lista</t>
        </r>
      </text>
    </comment>
    <comment ref="F1608" authorId="2">
      <text>
        <r>
          <rPr>
            <sz val="11"/>
            <color theme="1"/>
            <rFont val="Calibri"/>
            <family val="2"/>
            <scheme val="minor"/>
          </rPr>
          <t>Introduzca el código SNIP</t>
        </r>
      </text>
    </comment>
    <comment ref="C1609" authorId="2">
      <text>
        <r>
          <rPr>
            <sz val="11"/>
            <color theme="1"/>
            <rFont val="Calibri"/>
            <family val="2"/>
            <scheme val="minor"/>
          </rPr>
          <t>Introduzca la fecha de inicio del proceso, en formato dd-mm-aaaa</t>
        </r>
      </text>
    </comment>
    <comment ref="F160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0" authorId="2">
      <text/>
    </comment>
    <comment ref="C1611" authorId="2">
      <text>
        <r>
          <rPr>
            <sz val="11"/>
            <color theme="1"/>
            <rFont val="Calibri"/>
            <family val="2"/>
            <scheme val="minor"/>
          </rPr>
          <t>Introduzca la fecha prevista de adjudicación, en formato dd-mm-aaaa</t>
        </r>
      </text>
    </comment>
    <comment ref="F1611" authorId="2">
      <text/>
    </comment>
    <comment ref="F1612" authorId="2">
      <text/>
    </comment>
    <comment ref="A1614" authorId="2">
      <text>
        <r>
          <rPr>
            <sz val="11"/>
            <color theme="1"/>
            <rFont val="Calibri"/>
            <family val="2"/>
            <scheme val="minor"/>
          </rPr>
          <t>Introduzca un codigo UNSPSC</t>
        </r>
      </text>
    </comment>
    <comment ref="B1614" authorId="2">
      <text>
        <r>
          <rPr>
            <sz val="11"/>
            <color theme="1"/>
            <rFont val="Calibri"/>
            <family val="2"/>
            <scheme val="minor"/>
          </rPr>
          <t>Descripción calculada automáticamente a partir de código del artículo</t>
        </r>
      </text>
    </comment>
    <comment ref="C1614" authorId="2">
      <text>
        <r>
          <rPr>
            <sz val="11"/>
            <color theme="1"/>
            <rFont val="Calibri"/>
            <family val="2"/>
            <scheme val="minor"/>
          </rPr>
          <t>Seleccione un valor de la lista</t>
        </r>
      </text>
    </comment>
    <comment ref="D1614" authorId="2">
      <text>
        <r>
          <rPr>
            <sz val="11"/>
            <color theme="1"/>
            <rFont val="Calibri"/>
            <family val="2"/>
            <scheme val="minor"/>
          </rPr>
          <t>Introduzca un número con dos decimales como máximo. Debe ser igual o mayor a la "Cantidad Real Consumida"</t>
        </r>
      </text>
    </comment>
    <comment ref="E1614" authorId="2">
      <text>
        <r>
          <rPr>
            <sz val="11"/>
            <color theme="1"/>
            <rFont val="Calibri"/>
            <family val="2"/>
            <scheme val="minor"/>
          </rPr>
          <t>Introduzca un número con dos decimales como máximo</t>
        </r>
      </text>
    </comment>
    <comment ref="F1614" authorId="2">
      <text>
        <r>
          <rPr>
            <sz val="11"/>
            <color theme="1"/>
            <rFont val="Calibri"/>
            <family val="2"/>
            <scheme val="minor"/>
          </rPr>
          <t>Monto calculado automáticamente por el sistema</t>
        </r>
      </text>
    </comment>
    <comment ref="A1621" authorId="2">
      <text>
        <r>
          <rPr>
            <sz val="11"/>
            <color theme="1"/>
            <rFont val="Calibri"/>
            <family val="2"/>
            <scheme val="minor"/>
          </rPr>
          <t>Introducir un texto con el nombre o referencia de la contratación</t>
        </r>
      </text>
    </comment>
    <comment ref="B1621" authorId="2">
      <text>
        <r>
          <rPr>
            <sz val="11"/>
            <color theme="1"/>
            <rFont val="Calibri"/>
            <family val="2"/>
            <scheme val="minor"/>
          </rPr>
          <t>Introduzca un texto con la finalidad de la contratación</t>
        </r>
      </text>
    </comment>
    <comment ref="C1621" authorId="2">
      <text>
        <r>
          <rPr>
            <sz val="11"/>
            <color theme="1"/>
            <rFont val="Calibri"/>
            <family val="2"/>
            <scheme val="minor"/>
          </rPr>
          <t>Seleccionar un valor del listado</t>
        </r>
      </text>
    </comment>
    <comment ref="D1621" authorId="1">
      <text>
        <r>
          <rPr>
            <sz val="11"/>
            <color theme="1"/>
            <rFont val="Calibri"/>
            <family val="2"/>
            <scheme val="minor"/>
          </rPr>
          <t>Seleccione el tipo de procedimiento</t>
        </r>
      </text>
    </comment>
    <comment ref="E1621" authorId="2">
      <text>
        <r>
          <rPr>
            <sz val="11"/>
            <color theme="1"/>
            <rFont val="Calibri"/>
            <family val="2"/>
            <scheme val="minor"/>
          </rPr>
          <t>Seleccione un valor de la lista</t>
        </r>
      </text>
    </comment>
    <comment ref="F1621" authorId="2">
      <text>
        <r>
          <rPr>
            <sz val="11"/>
            <color theme="1"/>
            <rFont val="Calibri"/>
            <family val="2"/>
            <scheme val="minor"/>
          </rPr>
          <t>Introduzca el código SNIP</t>
        </r>
      </text>
    </comment>
    <comment ref="C1622" authorId="2">
      <text>
        <r>
          <rPr>
            <sz val="11"/>
            <color theme="1"/>
            <rFont val="Calibri"/>
            <family val="2"/>
            <scheme val="minor"/>
          </rPr>
          <t>Introduzca la fecha de inicio del proceso, en formato dd-mm-aaaa</t>
        </r>
      </text>
    </comment>
    <comment ref="F162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23" authorId="2">
      <text/>
    </comment>
    <comment ref="C1624" authorId="2">
      <text>
        <r>
          <rPr>
            <sz val="11"/>
            <color theme="1"/>
            <rFont val="Calibri"/>
            <family val="2"/>
            <scheme val="minor"/>
          </rPr>
          <t>Introduzca la fecha prevista de adjudicación, en formato dd-mm-aaaa</t>
        </r>
      </text>
    </comment>
    <comment ref="F1624" authorId="2">
      <text/>
    </comment>
    <comment ref="F1625" authorId="2">
      <text/>
    </comment>
    <comment ref="A1627" authorId="2">
      <text>
        <r>
          <rPr>
            <sz val="11"/>
            <color theme="1"/>
            <rFont val="Calibri"/>
            <family val="2"/>
            <scheme val="minor"/>
          </rPr>
          <t>Introduzca un codigo UNSPSC</t>
        </r>
      </text>
    </comment>
    <comment ref="B1627" authorId="2">
      <text>
        <r>
          <rPr>
            <sz val="11"/>
            <color theme="1"/>
            <rFont val="Calibri"/>
            <family val="2"/>
            <scheme val="minor"/>
          </rPr>
          <t>Descripción calculada automáticamente a partir de código del artículo</t>
        </r>
      </text>
    </comment>
    <comment ref="C1627" authorId="2">
      <text>
        <r>
          <rPr>
            <sz val="11"/>
            <color theme="1"/>
            <rFont val="Calibri"/>
            <family val="2"/>
            <scheme val="minor"/>
          </rPr>
          <t>Seleccione un valor de la lista</t>
        </r>
      </text>
    </comment>
    <comment ref="D1627" authorId="2">
      <text>
        <r>
          <rPr>
            <sz val="11"/>
            <color theme="1"/>
            <rFont val="Calibri"/>
            <family val="2"/>
            <scheme val="minor"/>
          </rPr>
          <t>Introduzca un número con dos decimales como máximo. Debe ser igual o mayor a la "Cantidad Real Consumida"</t>
        </r>
      </text>
    </comment>
    <comment ref="E1627" authorId="2">
      <text>
        <r>
          <rPr>
            <sz val="11"/>
            <color theme="1"/>
            <rFont val="Calibri"/>
            <family val="2"/>
            <scheme val="minor"/>
          </rPr>
          <t>Introduzca un número con dos decimales como máximo</t>
        </r>
      </text>
    </comment>
    <comment ref="F1627" authorId="2">
      <text>
        <r>
          <rPr>
            <sz val="11"/>
            <color theme="1"/>
            <rFont val="Calibri"/>
            <family val="2"/>
            <scheme val="minor"/>
          </rPr>
          <t>Monto calculado automáticamente por el sistema</t>
        </r>
      </text>
    </comment>
    <comment ref="A1632" authorId="2">
      <text>
        <r>
          <rPr>
            <sz val="11"/>
            <color theme="1"/>
            <rFont val="Calibri"/>
            <family val="2"/>
            <scheme val="minor"/>
          </rPr>
          <t>Introducir un texto con el nombre o referencia de la contratación</t>
        </r>
      </text>
    </comment>
    <comment ref="B1632" authorId="2">
      <text>
        <r>
          <rPr>
            <sz val="11"/>
            <color theme="1"/>
            <rFont val="Calibri"/>
            <family val="2"/>
            <scheme val="minor"/>
          </rPr>
          <t>Introduzca un texto con la finalidad de la contratación</t>
        </r>
      </text>
    </comment>
    <comment ref="C1632" authorId="2">
      <text>
        <r>
          <rPr>
            <sz val="11"/>
            <color theme="1"/>
            <rFont val="Calibri"/>
            <family val="2"/>
            <scheme val="minor"/>
          </rPr>
          <t>Seleccionar un valor del listado</t>
        </r>
      </text>
    </comment>
    <comment ref="D1632" authorId="1">
      <text>
        <r>
          <rPr>
            <sz val="11"/>
            <color theme="1"/>
            <rFont val="Calibri"/>
            <family val="2"/>
            <scheme val="minor"/>
          </rPr>
          <t>Seleccione el tipo de procedimiento</t>
        </r>
      </text>
    </comment>
    <comment ref="E1632" authorId="2">
      <text>
        <r>
          <rPr>
            <sz val="11"/>
            <color theme="1"/>
            <rFont val="Calibri"/>
            <family val="2"/>
            <scheme val="minor"/>
          </rPr>
          <t>Seleccione un valor de la lista</t>
        </r>
      </text>
    </comment>
    <comment ref="F1632" authorId="2">
      <text>
        <r>
          <rPr>
            <sz val="11"/>
            <color theme="1"/>
            <rFont val="Calibri"/>
            <family val="2"/>
            <scheme val="minor"/>
          </rPr>
          <t>Introduzca el código SNIP</t>
        </r>
      </text>
    </comment>
    <comment ref="C1633" authorId="2">
      <text>
        <r>
          <rPr>
            <sz val="11"/>
            <color theme="1"/>
            <rFont val="Calibri"/>
            <family val="2"/>
            <scheme val="minor"/>
          </rPr>
          <t>Introduzca la fecha de inicio del proceso, en formato dd-mm-aaaa</t>
        </r>
      </text>
    </comment>
    <comment ref="F163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34" authorId="2">
      <text/>
    </comment>
    <comment ref="C1635" authorId="2">
      <text>
        <r>
          <rPr>
            <sz val="11"/>
            <color theme="1"/>
            <rFont val="Calibri"/>
            <family val="2"/>
            <scheme val="minor"/>
          </rPr>
          <t>Introduzca la fecha prevista de adjudicación, en formato dd-mm-aaaa</t>
        </r>
      </text>
    </comment>
    <comment ref="F1635" authorId="2">
      <text/>
    </comment>
    <comment ref="F1636" authorId="2">
      <text/>
    </comment>
    <comment ref="A1638" authorId="2">
      <text>
        <r>
          <rPr>
            <sz val="11"/>
            <color theme="1"/>
            <rFont val="Calibri"/>
            <family val="2"/>
            <scheme val="minor"/>
          </rPr>
          <t>Introduzca un codigo UNSPSC</t>
        </r>
      </text>
    </comment>
    <comment ref="B1638" authorId="2">
      <text>
        <r>
          <rPr>
            <sz val="11"/>
            <color theme="1"/>
            <rFont val="Calibri"/>
            <family val="2"/>
            <scheme val="minor"/>
          </rPr>
          <t>Descripción calculada automáticamente a partir de código del artículo</t>
        </r>
      </text>
    </comment>
    <comment ref="C1638" authorId="2">
      <text>
        <r>
          <rPr>
            <sz val="11"/>
            <color theme="1"/>
            <rFont val="Calibri"/>
            <family val="2"/>
            <scheme val="minor"/>
          </rPr>
          <t>Seleccione un valor de la lista</t>
        </r>
      </text>
    </comment>
    <comment ref="D1638" authorId="2">
      <text>
        <r>
          <rPr>
            <sz val="11"/>
            <color theme="1"/>
            <rFont val="Calibri"/>
            <family val="2"/>
            <scheme val="minor"/>
          </rPr>
          <t>Introduzca un número con dos decimales como máximo. Debe ser igual o mayor a la "Cantidad Real Consumida"</t>
        </r>
      </text>
    </comment>
    <comment ref="E1638" authorId="2">
      <text>
        <r>
          <rPr>
            <sz val="11"/>
            <color theme="1"/>
            <rFont val="Calibri"/>
            <family val="2"/>
            <scheme val="minor"/>
          </rPr>
          <t>Introduzca un número con dos decimales como máximo</t>
        </r>
      </text>
    </comment>
    <comment ref="F1638" authorId="2">
      <text>
        <r>
          <rPr>
            <sz val="11"/>
            <color theme="1"/>
            <rFont val="Calibri"/>
            <family val="2"/>
            <scheme val="minor"/>
          </rPr>
          <t>Monto calculado automáticamente por el sistema</t>
        </r>
      </text>
    </comment>
    <comment ref="A1643" authorId="2">
      <text>
        <r>
          <rPr>
            <sz val="11"/>
            <color theme="1"/>
            <rFont val="Calibri"/>
            <family val="2"/>
            <scheme val="minor"/>
          </rPr>
          <t>Introducir un texto con el nombre o referencia de la contratación</t>
        </r>
      </text>
    </comment>
    <comment ref="B1643" authorId="2">
      <text>
        <r>
          <rPr>
            <sz val="11"/>
            <color theme="1"/>
            <rFont val="Calibri"/>
            <family val="2"/>
            <scheme val="minor"/>
          </rPr>
          <t>Introduzca un texto con la finalidad de la contratación</t>
        </r>
      </text>
    </comment>
    <comment ref="C1643" authorId="2">
      <text>
        <r>
          <rPr>
            <sz val="11"/>
            <color theme="1"/>
            <rFont val="Calibri"/>
            <family val="2"/>
            <scheme val="minor"/>
          </rPr>
          <t>Seleccionar un valor del listado</t>
        </r>
      </text>
    </comment>
    <comment ref="D1643" authorId="1">
      <text>
        <r>
          <rPr>
            <sz val="11"/>
            <color theme="1"/>
            <rFont val="Calibri"/>
            <family val="2"/>
            <scheme val="minor"/>
          </rPr>
          <t>Seleccione el tipo de procedimiento</t>
        </r>
      </text>
    </comment>
    <comment ref="E1643" authorId="2">
      <text>
        <r>
          <rPr>
            <sz val="11"/>
            <color theme="1"/>
            <rFont val="Calibri"/>
            <family val="2"/>
            <scheme val="minor"/>
          </rPr>
          <t>Seleccione un valor de la lista</t>
        </r>
      </text>
    </comment>
    <comment ref="F1643" authorId="2">
      <text>
        <r>
          <rPr>
            <sz val="11"/>
            <color theme="1"/>
            <rFont val="Calibri"/>
            <family val="2"/>
            <scheme val="minor"/>
          </rPr>
          <t>Introduzca el código SNIP</t>
        </r>
      </text>
    </comment>
    <comment ref="C1644" authorId="2">
      <text>
        <r>
          <rPr>
            <sz val="11"/>
            <color theme="1"/>
            <rFont val="Calibri"/>
            <family val="2"/>
            <scheme val="minor"/>
          </rPr>
          <t>Introduzca la fecha de inicio del proceso, en formato dd-mm-aaaa</t>
        </r>
      </text>
    </comment>
    <comment ref="F164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45" authorId="2">
      <text/>
    </comment>
    <comment ref="C1646" authorId="2">
      <text>
        <r>
          <rPr>
            <sz val="11"/>
            <color theme="1"/>
            <rFont val="Calibri"/>
            <family val="2"/>
            <scheme val="minor"/>
          </rPr>
          <t>Introduzca la fecha prevista de adjudicación, en formato dd-mm-aaaa</t>
        </r>
      </text>
    </comment>
    <comment ref="F1646" authorId="2">
      <text/>
    </comment>
    <comment ref="F1647" authorId="2">
      <text/>
    </comment>
    <comment ref="A1649" authorId="2">
      <text>
        <r>
          <rPr>
            <sz val="11"/>
            <color theme="1"/>
            <rFont val="Calibri"/>
            <family val="2"/>
            <scheme val="minor"/>
          </rPr>
          <t>Introduzca un codigo UNSPSC</t>
        </r>
      </text>
    </comment>
    <comment ref="B1649" authorId="2">
      <text>
        <r>
          <rPr>
            <sz val="11"/>
            <color theme="1"/>
            <rFont val="Calibri"/>
            <family val="2"/>
            <scheme val="minor"/>
          </rPr>
          <t>Descripción calculada automáticamente a partir de código del artículo</t>
        </r>
      </text>
    </comment>
    <comment ref="C1649" authorId="2">
      <text>
        <r>
          <rPr>
            <sz val="11"/>
            <color theme="1"/>
            <rFont val="Calibri"/>
            <family val="2"/>
            <scheme val="minor"/>
          </rPr>
          <t>Seleccione un valor de la lista</t>
        </r>
      </text>
    </comment>
    <comment ref="D1649" authorId="2">
      <text>
        <r>
          <rPr>
            <sz val="11"/>
            <color theme="1"/>
            <rFont val="Calibri"/>
            <family val="2"/>
            <scheme val="minor"/>
          </rPr>
          <t>Introduzca un número con dos decimales como máximo. Debe ser igual o mayor a la "Cantidad Real Consumida"</t>
        </r>
      </text>
    </comment>
    <comment ref="E1649" authorId="2">
      <text>
        <r>
          <rPr>
            <sz val="11"/>
            <color theme="1"/>
            <rFont val="Calibri"/>
            <family val="2"/>
            <scheme val="minor"/>
          </rPr>
          <t>Introduzca un número con dos decimales como máximo</t>
        </r>
      </text>
    </comment>
    <comment ref="F1649" authorId="2">
      <text>
        <r>
          <rPr>
            <sz val="11"/>
            <color theme="1"/>
            <rFont val="Calibri"/>
            <family val="2"/>
            <scheme val="minor"/>
          </rPr>
          <t>Monto calculado automáticamente por el sistema</t>
        </r>
      </text>
    </comment>
    <comment ref="A1654" authorId="2">
      <text>
        <r>
          <rPr>
            <sz val="11"/>
            <color theme="1"/>
            <rFont val="Calibri"/>
            <family val="2"/>
            <scheme val="minor"/>
          </rPr>
          <t>Introducir un texto con el nombre o referencia de la contratación</t>
        </r>
      </text>
    </comment>
    <comment ref="B1654" authorId="2">
      <text>
        <r>
          <rPr>
            <sz val="11"/>
            <color theme="1"/>
            <rFont val="Calibri"/>
            <family val="2"/>
            <scheme val="minor"/>
          </rPr>
          <t>Introduzca un texto con la finalidad de la contratación</t>
        </r>
      </text>
    </comment>
    <comment ref="C1654" authorId="2">
      <text>
        <r>
          <rPr>
            <sz val="11"/>
            <color theme="1"/>
            <rFont val="Calibri"/>
            <family val="2"/>
            <scheme val="minor"/>
          </rPr>
          <t>Seleccionar un valor del listado</t>
        </r>
      </text>
    </comment>
    <comment ref="D1654" authorId="1">
      <text>
        <r>
          <rPr>
            <sz val="11"/>
            <color theme="1"/>
            <rFont val="Calibri"/>
            <family val="2"/>
            <scheme val="minor"/>
          </rPr>
          <t>Seleccione el tipo de procedimiento</t>
        </r>
      </text>
    </comment>
    <comment ref="E1654" authorId="2">
      <text>
        <r>
          <rPr>
            <sz val="11"/>
            <color theme="1"/>
            <rFont val="Calibri"/>
            <family val="2"/>
            <scheme val="minor"/>
          </rPr>
          <t>Seleccione un valor de la lista</t>
        </r>
      </text>
    </comment>
    <comment ref="F1654" authorId="2">
      <text>
        <r>
          <rPr>
            <sz val="11"/>
            <color theme="1"/>
            <rFont val="Calibri"/>
            <family val="2"/>
            <scheme val="minor"/>
          </rPr>
          <t>Introduzca el código SNIP</t>
        </r>
      </text>
    </comment>
    <comment ref="C1655" authorId="2">
      <text>
        <r>
          <rPr>
            <sz val="11"/>
            <color theme="1"/>
            <rFont val="Calibri"/>
            <family val="2"/>
            <scheme val="minor"/>
          </rPr>
          <t>Introduzca la fecha de inicio del proceso, en formato dd-mm-aaaa</t>
        </r>
      </text>
    </comment>
    <comment ref="F165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6" authorId="2">
      <text/>
    </comment>
    <comment ref="C1657" authorId="2">
      <text>
        <r>
          <rPr>
            <sz val="11"/>
            <color theme="1"/>
            <rFont val="Calibri"/>
            <family val="2"/>
            <scheme val="minor"/>
          </rPr>
          <t>Introduzca la fecha prevista de adjudicación, en formato dd-mm-aaaa</t>
        </r>
      </text>
    </comment>
    <comment ref="F1657" authorId="2">
      <text/>
    </comment>
    <comment ref="F1658" authorId="2">
      <text/>
    </comment>
    <comment ref="A1660" authorId="2">
      <text>
        <r>
          <rPr>
            <sz val="11"/>
            <color theme="1"/>
            <rFont val="Calibri"/>
            <family val="2"/>
            <scheme val="minor"/>
          </rPr>
          <t>Introduzca un codigo UNSPSC</t>
        </r>
      </text>
    </comment>
    <comment ref="B1660" authorId="2">
      <text>
        <r>
          <rPr>
            <sz val="11"/>
            <color theme="1"/>
            <rFont val="Calibri"/>
            <family val="2"/>
            <scheme val="minor"/>
          </rPr>
          <t>Descripción calculada automáticamente a partir de código del artículo</t>
        </r>
      </text>
    </comment>
    <comment ref="C1660" authorId="2">
      <text>
        <r>
          <rPr>
            <sz val="11"/>
            <color theme="1"/>
            <rFont val="Calibri"/>
            <family val="2"/>
            <scheme val="minor"/>
          </rPr>
          <t>Seleccione un valor de la lista</t>
        </r>
      </text>
    </comment>
    <comment ref="D1660" authorId="2">
      <text>
        <r>
          <rPr>
            <sz val="11"/>
            <color theme="1"/>
            <rFont val="Calibri"/>
            <family val="2"/>
            <scheme val="minor"/>
          </rPr>
          <t>Introduzca un número con dos decimales como máximo. Debe ser igual o mayor a la "Cantidad Real Consumida"</t>
        </r>
      </text>
    </comment>
    <comment ref="E1660" authorId="2">
      <text>
        <r>
          <rPr>
            <sz val="11"/>
            <color theme="1"/>
            <rFont val="Calibri"/>
            <family val="2"/>
            <scheme val="minor"/>
          </rPr>
          <t>Introduzca un número con dos decimales como máximo</t>
        </r>
      </text>
    </comment>
    <comment ref="F1660" authorId="2">
      <text>
        <r>
          <rPr>
            <sz val="11"/>
            <color theme="1"/>
            <rFont val="Calibri"/>
            <family val="2"/>
            <scheme val="minor"/>
          </rPr>
          <t>Monto calculado automáticamente por el sistema</t>
        </r>
      </text>
    </comment>
    <comment ref="A1665" authorId="2">
      <text>
        <r>
          <rPr>
            <sz val="11"/>
            <color theme="1"/>
            <rFont val="Calibri"/>
            <family val="2"/>
            <scheme val="minor"/>
          </rPr>
          <t>Introducir un texto con el nombre o referencia de la contratación</t>
        </r>
      </text>
    </comment>
    <comment ref="B1665" authorId="2">
      <text>
        <r>
          <rPr>
            <sz val="11"/>
            <color theme="1"/>
            <rFont val="Calibri"/>
            <family val="2"/>
            <scheme val="minor"/>
          </rPr>
          <t>Introduzca un texto con la finalidad de la contratación</t>
        </r>
      </text>
    </comment>
    <comment ref="C1665" authorId="2">
      <text>
        <r>
          <rPr>
            <sz val="11"/>
            <color theme="1"/>
            <rFont val="Calibri"/>
            <family val="2"/>
            <scheme val="minor"/>
          </rPr>
          <t>Seleccionar un valor del listado</t>
        </r>
      </text>
    </comment>
    <comment ref="D1665" authorId="1">
      <text>
        <r>
          <rPr>
            <sz val="11"/>
            <color theme="1"/>
            <rFont val="Calibri"/>
            <family val="2"/>
            <scheme val="minor"/>
          </rPr>
          <t>Seleccione el tipo de procedimiento</t>
        </r>
      </text>
    </comment>
    <comment ref="E1665" authorId="2">
      <text>
        <r>
          <rPr>
            <sz val="11"/>
            <color theme="1"/>
            <rFont val="Calibri"/>
            <family val="2"/>
            <scheme val="minor"/>
          </rPr>
          <t>Seleccione un valor de la lista</t>
        </r>
      </text>
    </comment>
    <comment ref="F1665" authorId="2">
      <text>
        <r>
          <rPr>
            <sz val="11"/>
            <color theme="1"/>
            <rFont val="Calibri"/>
            <family val="2"/>
            <scheme val="minor"/>
          </rPr>
          <t>Introduzca el código SNIP</t>
        </r>
      </text>
    </comment>
    <comment ref="C1666" authorId="2">
      <text>
        <r>
          <rPr>
            <sz val="11"/>
            <color theme="1"/>
            <rFont val="Calibri"/>
            <family val="2"/>
            <scheme val="minor"/>
          </rPr>
          <t>Introduzca la fecha de inicio del proceso, en formato dd-mm-aaaa</t>
        </r>
      </text>
    </comment>
    <comment ref="F166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67" authorId="2">
      <text/>
    </comment>
    <comment ref="C1668" authorId="2">
      <text>
        <r>
          <rPr>
            <sz val="11"/>
            <color theme="1"/>
            <rFont val="Calibri"/>
            <family val="2"/>
            <scheme val="minor"/>
          </rPr>
          <t>Introduzca la fecha prevista de adjudicación, en formato dd-mm-aaaa</t>
        </r>
      </text>
    </comment>
    <comment ref="F1668" authorId="2">
      <text/>
    </comment>
    <comment ref="F1669" authorId="2">
      <text/>
    </comment>
    <comment ref="A1671" authorId="2">
      <text>
        <r>
          <rPr>
            <sz val="11"/>
            <color theme="1"/>
            <rFont val="Calibri"/>
            <family val="2"/>
            <scheme val="minor"/>
          </rPr>
          <t>Introduzca un codigo UNSPSC</t>
        </r>
      </text>
    </comment>
    <comment ref="B1671" authorId="2">
      <text>
        <r>
          <rPr>
            <sz val="11"/>
            <color theme="1"/>
            <rFont val="Calibri"/>
            <family val="2"/>
            <scheme val="minor"/>
          </rPr>
          <t>Descripción calculada automáticamente a partir de código del artículo</t>
        </r>
      </text>
    </comment>
    <comment ref="C1671" authorId="2">
      <text>
        <r>
          <rPr>
            <sz val="11"/>
            <color theme="1"/>
            <rFont val="Calibri"/>
            <family val="2"/>
            <scheme val="minor"/>
          </rPr>
          <t>Seleccione un valor de la lista</t>
        </r>
      </text>
    </comment>
    <comment ref="D1671" authorId="2">
      <text>
        <r>
          <rPr>
            <sz val="11"/>
            <color theme="1"/>
            <rFont val="Calibri"/>
            <family val="2"/>
            <scheme val="minor"/>
          </rPr>
          <t>Introduzca un número con dos decimales como máximo. Debe ser igual o mayor a la "Cantidad Real Consumida"</t>
        </r>
      </text>
    </comment>
    <comment ref="E1671" authorId="2">
      <text>
        <r>
          <rPr>
            <sz val="11"/>
            <color theme="1"/>
            <rFont val="Calibri"/>
            <family val="2"/>
            <scheme val="minor"/>
          </rPr>
          <t>Introduzca un número con dos decimales como máximo</t>
        </r>
      </text>
    </comment>
    <comment ref="F1671" authorId="2">
      <text>
        <r>
          <rPr>
            <sz val="11"/>
            <color theme="1"/>
            <rFont val="Calibri"/>
            <family val="2"/>
            <scheme val="minor"/>
          </rPr>
          <t>Monto calculado automáticamente por el sistema</t>
        </r>
      </text>
    </comment>
    <comment ref="A1676" authorId="2">
      <text>
        <r>
          <rPr>
            <sz val="11"/>
            <color theme="1"/>
            <rFont val="Calibri"/>
            <family val="2"/>
            <scheme val="minor"/>
          </rPr>
          <t>Introducir un texto con el nombre o referencia de la contratación</t>
        </r>
      </text>
    </comment>
    <comment ref="B1676" authorId="2">
      <text>
        <r>
          <rPr>
            <sz val="11"/>
            <color theme="1"/>
            <rFont val="Calibri"/>
            <family val="2"/>
            <scheme val="minor"/>
          </rPr>
          <t>Introduzca un texto con la finalidad de la contratación</t>
        </r>
      </text>
    </comment>
    <comment ref="C1676" authorId="2">
      <text>
        <r>
          <rPr>
            <sz val="11"/>
            <color theme="1"/>
            <rFont val="Calibri"/>
            <family val="2"/>
            <scheme val="minor"/>
          </rPr>
          <t>Seleccionar un valor del listado</t>
        </r>
      </text>
    </comment>
    <comment ref="D1676" authorId="1">
      <text>
        <r>
          <rPr>
            <sz val="11"/>
            <color theme="1"/>
            <rFont val="Calibri"/>
            <family val="2"/>
            <scheme val="minor"/>
          </rPr>
          <t>Seleccione el tipo de procedimiento</t>
        </r>
      </text>
    </comment>
    <comment ref="E1676" authorId="2">
      <text>
        <r>
          <rPr>
            <sz val="11"/>
            <color theme="1"/>
            <rFont val="Calibri"/>
            <family val="2"/>
            <scheme val="minor"/>
          </rPr>
          <t>Seleccione un valor de la lista</t>
        </r>
      </text>
    </comment>
    <comment ref="F1676" authorId="2">
      <text>
        <r>
          <rPr>
            <sz val="11"/>
            <color theme="1"/>
            <rFont val="Calibri"/>
            <family val="2"/>
            <scheme val="minor"/>
          </rPr>
          <t>Introduzca el código SNIP</t>
        </r>
      </text>
    </comment>
    <comment ref="C1677" authorId="2">
      <text>
        <r>
          <rPr>
            <sz val="11"/>
            <color theme="1"/>
            <rFont val="Calibri"/>
            <family val="2"/>
            <scheme val="minor"/>
          </rPr>
          <t>Introduzca la fecha de inicio del proceso, en formato dd-mm-aaaa</t>
        </r>
      </text>
    </comment>
    <comment ref="F167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8" authorId="2">
      <text/>
    </comment>
    <comment ref="C1679" authorId="2">
      <text>
        <r>
          <rPr>
            <sz val="11"/>
            <color theme="1"/>
            <rFont val="Calibri"/>
            <family val="2"/>
            <scheme val="minor"/>
          </rPr>
          <t>Introduzca la fecha prevista de adjudicación, en formato dd-mm-aaaa</t>
        </r>
      </text>
    </comment>
    <comment ref="F1679" authorId="2">
      <text/>
    </comment>
    <comment ref="F1680" authorId="2">
      <text/>
    </comment>
    <comment ref="A1682" authorId="2">
      <text>
        <r>
          <rPr>
            <sz val="11"/>
            <color theme="1"/>
            <rFont val="Calibri"/>
            <family val="2"/>
            <scheme val="minor"/>
          </rPr>
          <t>Introduzca un codigo UNSPSC</t>
        </r>
      </text>
    </comment>
    <comment ref="B1682" authorId="2">
      <text>
        <r>
          <rPr>
            <sz val="11"/>
            <color theme="1"/>
            <rFont val="Calibri"/>
            <family val="2"/>
            <scheme val="minor"/>
          </rPr>
          <t>Descripción calculada automáticamente a partir de código del artículo</t>
        </r>
      </text>
    </comment>
    <comment ref="C1682" authorId="2">
      <text>
        <r>
          <rPr>
            <sz val="11"/>
            <color theme="1"/>
            <rFont val="Calibri"/>
            <family val="2"/>
            <scheme val="minor"/>
          </rPr>
          <t>Seleccione un valor de la lista</t>
        </r>
      </text>
    </comment>
    <comment ref="D1682" authorId="2">
      <text>
        <r>
          <rPr>
            <sz val="11"/>
            <color theme="1"/>
            <rFont val="Calibri"/>
            <family val="2"/>
            <scheme val="minor"/>
          </rPr>
          <t>Introduzca un número con dos decimales como máximo. Debe ser igual o mayor a la "Cantidad Real Consumida"</t>
        </r>
      </text>
    </comment>
    <comment ref="E1682" authorId="2">
      <text>
        <r>
          <rPr>
            <sz val="11"/>
            <color theme="1"/>
            <rFont val="Calibri"/>
            <family val="2"/>
            <scheme val="minor"/>
          </rPr>
          <t>Introduzca un número con dos decimales como máximo</t>
        </r>
      </text>
    </comment>
    <comment ref="F1682" authorId="2">
      <text>
        <r>
          <rPr>
            <sz val="11"/>
            <color theme="1"/>
            <rFont val="Calibri"/>
            <family val="2"/>
            <scheme val="minor"/>
          </rPr>
          <t>Monto calculado automáticamente por el sistema</t>
        </r>
      </text>
    </comment>
    <comment ref="A1687" authorId="2">
      <text>
        <r>
          <rPr>
            <sz val="11"/>
            <color theme="1"/>
            <rFont val="Calibri"/>
            <family val="2"/>
            <scheme val="minor"/>
          </rPr>
          <t>Introducir un texto con el nombre o referencia de la contratación</t>
        </r>
      </text>
    </comment>
    <comment ref="B1687" authorId="2">
      <text>
        <r>
          <rPr>
            <sz val="11"/>
            <color theme="1"/>
            <rFont val="Calibri"/>
            <family val="2"/>
            <scheme val="minor"/>
          </rPr>
          <t>Introduzca un texto con la finalidad de la contratación</t>
        </r>
      </text>
    </comment>
    <comment ref="C1687" authorId="2">
      <text>
        <r>
          <rPr>
            <sz val="11"/>
            <color theme="1"/>
            <rFont val="Calibri"/>
            <family val="2"/>
            <scheme val="minor"/>
          </rPr>
          <t>Seleccionar un valor del listado</t>
        </r>
      </text>
    </comment>
    <comment ref="D1687" authorId="1">
      <text>
        <r>
          <rPr>
            <sz val="11"/>
            <color theme="1"/>
            <rFont val="Calibri"/>
            <family val="2"/>
            <scheme val="minor"/>
          </rPr>
          <t>Seleccione el tipo de procedimiento</t>
        </r>
      </text>
    </comment>
    <comment ref="E1687" authorId="2">
      <text>
        <r>
          <rPr>
            <sz val="11"/>
            <color theme="1"/>
            <rFont val="Calibri"/>
            <family val="2"/>
            <scheme val="minor"/>
          </rPr>
          <t>Seleccione un valor de la lista</t>
        </r>
      </text>
    </comment>
    <comment ref="F1687" authorId="2">
      <text>
        <r>
          <rPr>
            <sz val="11"/>
            <color theme="1"/>
            <rFont val="Calibri"/>
            <family val="2"/>
            <scheme val="minor"/>
          </rPr>
          <t>Introduzca el código SNIP</t>
        </r>
      </text>
    </comment>
    <comment ref="C1688" authorId="2">
      <text>
        <r>
          <rPr>
            <sz val="11"/>
            <color theme="1"/>
            <rFont val="Calibri"/>
            <family val="2"/>
            <scheme val="minor"/>
          </rPr>
          <t>Introduzca la fecha de inicio del proceso, en formato dd-mm-aaaa</t>
        </r>
      </text>
    </comment>
    <comment ref="F1688"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89" authorId="2">
      <text/>
    </comment>
    <comment ref="C1690" authorId="2">
      <text>
        <r>
          <rPr>
            <sz val="11"/>
            <color theme="1"/>
            <rFont val="Calibri"/>
            <family val="2"/>
            <scheme val="minor"/>
          </rPr>
          <t>Introduzca la fecha prevista de adjudicación, en formato dd-mm-aaaa</t>
        </r>
      </text>
    </comment>
    <comment ref="F1690" authorId="2">
      <text/>
    </comment>
    <comment ref="F1691" authorId="2">
      <text/>
    </comment>
    <comment ref="A1693" authorId="2">
      <text>
        <r>
          <rPr>
            <sz val="11"/>
            <color theme="1"/>
            <rFont val="Calibri"/>
            <family val="2"/>
            <scheme val="minor"/>
          </rPr>
          <t>Introduzca un codigo UNSPSC</t>
        </r>
      </text>
    </comment>
    <comment ref="B1693" authorId="2">
      <text>
        <r>
          <rPr>
            <sz val="11"/>
            <color theme="1"/>
            <rFont val="Calibri"/>
            <family val="2"/>
            <scheme val="minor"/>
          </rPr>
          <t>Descripción calculada automáticamente a partir de código del artículo</t>
        </r>
      </text>
    </comment>
    <comment ref="C1693" authorId="2">
      <text>
        <r>
          <rPr>
            <sz val="11"/>
            <color theme="1"/>
            <rFont val="Calibri"/>
            <family val="2"/>
            <scheme val="minor"/>
          </rPr>
          <t>Seleccione un valor de la lista</t>
        </r>
      </text>
    </comment>
    <comment ref="D1693" authorId="2">
      <text>
        <r>
          <rPr>
            <sz val="11"/>
            <color theme="1"/>
            <rFont val="Calibri"/>
            <family val="2"/>
            <scheme val="minor"/>
          </rPr>
          <t>Introduzca un número con dos decimales como máximo. Debe ser igual o mayor a la "Cantidad Real Consumida"</t>
        </r>
      </text>
    </comment>
    <comment ref="E1693" authorId="2">
      <text>
        <r>
          <rPr>
            <sz val="11"/>
            <color theme="1"/>
            <rFont val="Calibri"/>
            <family val="2"/>
            <scheme val="minor"/>
          </rPr>
          <t>Introduzca un número con dos decimales como máximo</t>
        </r>
      </text>
    </comment>
    <comment ref="F1693" authorId="2">
      <text>
        <r>
          <rPr>
            <sz val="11"/>
            <color theme="1"/>
            <rFont val="Calibri"/>
            <family val="2"/>
            <scheme val="minor"/>
          </rPr>
          <t>Monto calculado automáticamente por el sistema</t>
        </r>
      </text>
    </comment>
    <comment ref="A1698" authorId="2">
      <text>
        <r>
          <rPr>
            <sz val="11"/>
            <color theme="1"/>
            <rFont val="Calibri"/>
            <family val="2"/>
            <scheme val="minor"/>
          </rPr>
          <t>Introducir un texto con el nombre o referencia de la contratación</t>
        </r>
      </text>
    </comment>
    <comment ref="B1698" authorId="2">
      <text>
        <r>
          <rPr>
            <sz val="11"/>
            <color theme="1"/>
            <rFont val="Calibri"/>
            <family val="2"/>
            <scheme val="minor"/>
          </rPr>
          <t>Introduzca un texto con la finalidad de la contratación</t>
        </r>
      </text>
    </comment>
    <comment ref="C1698" authorId="2">
      <text>
        <r>
          <rPr>
            <sz val="11"/>
            <color theme="1"/>
            <rFont val="Calibri"/>
            <family val="2"/>
            <scheme val="minor"/>
          </rPr>
          <t>Seleccionar un valor del listado</t>
        </r>
      </text>
    </comment>
    <comment ref="D1698" authorId="1">
      <text>
        <r>
          <rPr>
            <sz val="11"/>
            <color theme="1"/>
            <rFont val="Calibri"/>
            <family val="2"/>
            <scheme val="minor"/>
          </rPr>
          <t>Seleccione el tipo de procedimiento</t>
        </r>
      </text>
    </comment>
    <comment ref="E1698" authorId="1">
      <text>
        <r>
          <rPr>
            <sz val="11"/>
            <color theme="1"/>
            <rFont val="Calibri"/>
            <family val="2"/>
            <scheme val="minor"/>
          </rPr>
          <t>Seleccione un valor de la lista</t>
        </r>
      </text>
    </comment>
    <comment ref="F1698" authorId="2">
      <text>
        <r>
          <rPr>
            <sz val="11"/>
            <color theme="1"/>
            <rFont val="Calibri"/>
            <family val="2"/>
            <scheme val="minor"/>
          </rPr>
          <t>Introduzca el código SNIP</t>
        </r>
      </text>
    </comment>
    <comment ref="C1699" authorId="2">
      <text>
        <r>
          <rPr>
            <sz val="11"/>
            <color theme="1"/>
            <rFont val="Calibri"/>
            <family val="2"/>
            <scheme val="minor"/>
          </rPr>
          <t>Introduzca la fecha de inicio del proceso, en formato dd-mm-aaaa</t>
        </r>
      </text>
    </comment>
    <comment ref="F169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00" authorId="2">
      <text/>
    </comment>
    <comment ref="C1701" authorId="2">
      <text>
        <r>
          <rPr>
            <sz val="11"/>
            <color theme="1"/>
            <rFont val="Calibri"/>
            <family val="2"/>
            <scheme val="minor"/>
          </rPr>
          <t>Introduzca la fecha prevista de adjudicación, en formato dd-mm-aaaa</t>
        </r>
      </text>
    </comment>
    <comment ref="F1701" authorId="2">
      <text/>
    </comment>
    <comment ref="F1702" authorId="2">
      <text/>
    </comment>
    <comment ref="A1704" authorId="2">
      <text>
        <r>
          <rPr>
            <sz val="11"/>
            <color theme="1"/>
            <rFont val="Calibri"/>
            <family val="2"/>
            <scheme val="minor"/>
          </rPr>
          <t>Introduzca un codigo UNSPSC</t>
        </r>
      </text>
    </comment>
    <comment ref="B1704" authorId="2">
      <text>
        <r>
          <rPr>
            <sz val="11"/>
            <color theme="1"/>
            <rFont val="Calibri"/>
            <family val="2"/>
            <scheme val="minor"/>
          </rPr>
          <t>Descripción calculada automáticamente a partir de código del artículo</t>
        </r>
      </text>
    </comment>
    <comment ref="C1704" authorId="2">
      <text>
        <r>
          <rPr>
            <sz val="11"/>
            <color theme="1"/>
            <rFont val="Calibri"/>
            <family val="2"/>
            <scheme val="minor"/>
          </rPr>
          <t>Seleccione un valor de la lista</t>
        </r>
      </text>
    </comment>
    <comment ref="D1704" authorId="2">
      <text>
        <r>
          <rPr>
            <sz val="11"/>
            <color theme="1"/>
            <rFont val="Calibri"/>
            <family val="2"/>
            <scheme val="minor"/>
          </rPr>
          <t>Introduzca un número con dos decimales como máximo. Debe ser igual o mayor a la "Cantidad Real Consumida"</t>
        </r>
      </text>
    </comment>
    <comment ref="E1704" authorId="2">
      <text>
        <r>
          <rPr>
            <sz val="11"/>
            <color theme="1"/>
            <rFont val="Calibri"/>
            <family val="2"/>
            <scheme val="minor"/>
          </rPr>
          <t>Introduzca un número con dos decimales como máximo</t>
        </r>
      </text>
    </comment>
    <comment ref="F1704" authorId="2">
      <text>
        <r>
          <rPr>
            <sz val="11"/>
            <color theme="1"/>
            <rFont val="Calibri"/>
            <family val="2"/>
            <scheme val="minor"/>
          </rPr>
          <t>Monto calculado automáticamente por el sistema</t>
        </r>
      </text>
    </comment>
    <comment ref="A1709" authorId="2">
      <text>
        <r>
          <rPr>
            <sz val="11"/>
            <color theme="1"/>
            <rFont val="Calibri"/>
            <family val="2"/>
            <scheme val="minor"/>
          </rPr>
          <t>Introducir un texto con el nombre o referencia de la contratación</t>
        </r>
      </text>
    </comment>
    <comment ref="B1709" authorId="2">
      <text>
        <r>
          <rPr>
            <sz val="11"/>
            <color theme="1"/>
            <rFont val="Calibri"/>
            <family val="2"/>
            <scheme val="minor"/>
          </rPr>
          <t>Introduzca un texto con la finalidad de la contratación</t>
        </r>
      </text>
    </comment>
    <comment ref="C1709" authorId="2">
      <text>
        <r>
          <rPr>
            <sz val="11"/>
            <color theme="1"/>
            <rFont val="Calibri"/>
            <family val="2"/>
            <scheme val="minor"/>
          </rPr>
          <t>Seleccionar un valor del listado</t>
        </r>
      </text>
    </comment>
    <comment ref="D1709" authorId="1">
      <text>
        <r>
          <rPr>
            <sz val="11"/>
            <color theme="1"/>
            <rFont val="Calibri"/>
            <family val="2"/>
            <scheme val="minor"/>
          </rPr>
          <t>Seleccione el tipo de procedimiento</t>
        </r>
      </text>
    </comment>
    <comment ref="E1709" authorId="1">
      <text>
        <r>
          <rPr>
            <sz val="11"/>
            <color theme="1"/>
            <rFont val="Calibri"/>
            <family val="2"/>
            <scheme val="minor"/>
          </rPr>
          <t>Seleccione un valor de la lista</t>
        </r>
      </text>
    </comment>
    <comment ref="F1709" authorId="2">
      <text>
        <r>
          <rPr>
            <sz val="11"/>
            <color theme="1"/>
            <rFont val="Calibri"/>
            <family val="2"/>
            <scheme val="minor"/>
          </rPr>
          <t>Introduzca el código SNIP</t>
        </r>
      </text>
    </comment>
    <comment ref="C1710" authorId="2">
      <text>
        <r>
          <rPr>
            <sz val="11"/>
            <color theme="1"/>
            <rFont val="Calibri"/>
            <family val="2"/>
            <scheme val="minor"/>
          </rPr>
          <t>Introduzca la fecha de inicio del proceso, en formato dd-mm-aaaa</t>
        </r>
      </text>
    </comment>
    <comment ref="F171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1" authorId="2">
      <text/>
    </comment>
    <comment ref="C1712" authorId="2">
      <text>
        <r>
          <rPr>
            <sz val="11"/>
            <color theme="1"/>
            <rFont val="Calibri"/>
            <family val="2"/>
            <scheme val="minor"/>
          </rPr>
          <t>Introduzca la fecha prevista de adjudicación, en formato dd-mm-aaaa</t>
        </r>
      </text>
    </comment>
    <comment ref="F1712" authorId="2">
      <text/>
    </comment>
    <comment ref="F1713" authorId="2">
      <text/>
    </comment>
    <comment ref="A1715" authorId="2">
      <text>
        <r>
          <rPr>
            <sz val="11"/>
            <color theme="1"/>
            <rFont val="Calibri"/>
            <family val="2"/>
            <scheme val="minor"/>
          </rPr>
          <t>Introduzca un codigo UNSPSC</t>
        </r>
      </text>
    </comment>
    <comment ref="B1715" authorId="2">
      <text>
        <r>
          <rPr>
            <sz val="11"/>
            <color theme="1"/>
            <rFont val="Calibri"/>
            <family val="2"/>
            <scheme val="minor"/>
          </rPr>
          <t>Descripción calculada automáticamente a partir de código del artículo</t>
        </r>
      </text>
    </comment>
    <comment ref="C1715" authorId="2">
      <text>
        <r>
          <rPr>
            <sz val="11"/>
            <color theme="1"/>
            <rFont val="Calibri"/>
            <family val="2"/>
            <scheme val="minor"/>
          </rPr>
          <t>Seleccione un valor de la lista</t>
        </r>
      </text>
    </comment>
    <comment ref="D1715" authorId="2">
      <text>
        <r>
          <rPr>
            <sz val="11"/>
            <color theme="1"/>
            <rFont val="Calibri"/>
            <family val="2"/>
            <scheme val="minor"/>
          </rPr>
          <t>Introduzca un número con dos decimales como máximo. Debe ser igual o mayor a la "Cantidad Real Consumida"</t>
        </r>
      </text>
    </comment>
    <comment ref="E1715" authorId="2">
      <text>
        <r>
          <rPr>
            <sz val="11"/>
            <color theme="1"/>
            <rFont val="Calibri"/>
            <family val="2"/>
            <scheme val="minor"/>
          </rPr>
          <t>Introduzca un número con dos decimales como máximo</t>
        </r>
      </text>
    </comment>
    <comment ref="F1715" authorId="2">
      <text>
        <r>
          <rPr>
            <sz val="11"/>
            <color theme="1"/>
            <rFont val="Calibri"/>
            <family val="2"/>
            <scheme val="minor"/>
          </rPr>
          <t>Monto calculado automáticamente por el sistema</t>
        </r>
      </text>
    </comment>
    <comment ref="A1720" authorId="2">
      <text>
        <r>
          <rPr>
            <sz val="11"/>
            <color theme="1"/>
            <rFont val="Calibri"/>
            <family val="2"/>
            <scheme val="minor"/>
          </rPr>
          <t>Introducir un texto con el nombre o referencia de la contratación</t>
        </r>
      </text>
    </comment>
    <comment ref="B1720" authorId="2">
      <text>
        <r>
          <rPr>
            <sz val="11"/>
            <color theme="1"/>
            <rFont val="Calibri"/>
            <family val="2"/>
            <scheme val="minor"/>
          </rPr>
          <t>Introduzca un texto con la finalidad de la contratación</t>
        </r>
      </text>
    </comment>
    <comment ref="C1720" authorId="2">
      <text>
        <r>
          <rPr>
            <sz val="11"/>
            <color theme="1"/>
            <rFont val="Calibri"/>
            <family val="2"/>
            <scheme val="minor"/>
          </rPr>
          <t>Seleccionar un valor del listado</t>
        </r>
      </text>
    </comment>
    <comment ref="D1720" authorId="1">
      <text>
        <r>
          <rPr>
            <sz val="11"/>
            <color theme="1"/>
            <rFont val="Calibri"/>
            <family val="2"/>
            <scheme val="minor"/>
          </rPr>
          <t>Seleccione el tipo de procedimiento</t>
        </r>
      </text>
    </comment>
    <comment ref="E1720" authorId="2">
      <text>
        <r>
          <rPr>
            <sz val="11"/>
            <color theme="1"/>
            <rFont val="Calibri"/>
            <family val="2"/>
            <scheme val="minor"/>
          </rPr>
          <t>Seleccione un valor de la lista</t>
        </r>
      </text>
    </comment>
    <comment ref="F1720" authorId="2">
      <text>
        <r>
          <rPr>
            <sz val="11"/>
            <color theme="1"/>
            <rFont val="Calibri"/>
            <family val="2"/>
            <scheme val="minor"/>
          </rPr>
          <t>Introduzca el código SNIP</t>
        </r>
      </text>
    </comment>
    <comment ref="C1721" authorId="2">
      <text>
        <r>
          <rPr>
            <sz val="11"/>
            <color theme="1"/>
            <rFont val="Calibri"/>
            <family val="2"/>
            <scheme val="minor"/>
          </rPr>
          <t>Introduzca la fecha de inicio del proceso, en formato dd-mm-aaaa</t>
        </r>
      </text>
    </comment>
    <comment ref="F172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22" authorId="2">
      <text/>
    </comment>
    <comment ref="C1723" authorId="2">
      <text>
        <r>
          <rPr>
            <sz val="11"/>
            <color theme="1"/>
            <rFont val="Calibri"/>
            <family val="2"/>
            <scheme val="minor"/>
          </rPr>
          <t>Introduzca la fecha prevista de adjudicación, en formato dd-mm-aaaa</t>
        </r>
      </text>
    </comment>
    <comment ref="F1723" authorId="2">
      <text/>
    </comment>
    <comment ref="F1724" authorId="2">
      <text/>
    </comment>
    <comment ref="A1726" authorId="2">
      <text>
        <r>
          <rPr>
            <sz val="11"/>
            <color theme="1"/>
            <rFont val="Calibri"/>
            <family val="2"/>
            <scheme val="minor"/>
          </rPr>
          <t>Introduzca un codigo UNSPSC</t>
        </r>
      </text>
    </comment>
    <comment ref="B1726" authorId="2">
      <text>
        <r>
          <rPr>
            <sz val="11"/>
            <color theme="1"/>
            <rFont val="Calibri"/>
            <family val="2"/>
            <scheme val="minor"/>
          </rPr>
          <t>Descripción calculada automáticamente a partir de código del artículo</t>
        </r>
      </text>
    </comment>
    <comment ref="C1726" authorId="2">
      <text>
        <r>
          <rPr>
            <sz val="11"/>
            <color theme="1"/>
            <rFont val="Calibri"/>
            <family val="2"/>
            <scheme val="minor"/>
          </rPr>
          <t>Seleccione un valor de la lista</t>
        </r>
      </text>
    </comment>
    <comment ref="D1726" authorId="2">
      <text>
        <r>
          <rPr>
            <sz val="11"/>
            <color theme="1"/>
            <rFont val="Calibri"/>
            <family val="2"/>
            <scheme val="minor"/>
          </rPr>
          <t>Introduzca un número con dos decimales como máximo. Debe ser igual o mayor a la "Cantidad Real Consumida"</t>
        </r>
      </text>
    </comment>
    <comment ref="E1726" authorId="2">
      <text>
        <r>
          <rPr>
            <sz val="11"/>
            <color theme="1"/>
            <rFont val="Calibri"/>
            <family val="2"/>
            <scheme val="minor"/>
          </rPr>
          <t>Introduzca un número con dos decimales como máximo</t>
        </r>
      </text>
    </comment>
    <comment ref="F1726" authorId="2">
      <text>
        <r>
          <rPr>
            <sz val="11"/>
            <color theme="1"/>
            <rFont val="Calibri"/>
            <family val="2"/>
            <scheme val="minor"/>
          </rPr>
          <t>Monto calculado automáticamente por el sistema</t>
        </r>
      </text>
    </comment>
    <comment ref="A1731" authorId="2">
      <text>
        <r>
          <rPr>
            <sz val="11"/>
            <color theme="1"/>
            <rFont val="Calibri"/>
            <family val="2"/>
            <scheme val="minor"/>
          </rPr>
          <t>Introducir un texto con el nombre o referencia de la contratación</t>
        </r>
      </text>
    </comment>
    <comment ref="B1731" authorId="2">
      <text>
        <r>
          <rPr>
            <sz val="11"/>
            <color theme="1"/>
            <rFont val="Calibri"/>
            <family val="2"/>
            <scheme val="minor"/>
          </rPr>
          <t>Introduzca un texto con la finalidad de la contratación</t>
        </r>
      </text>
    </comment>
    <comment ref="C1731" authorId="2">
      <text>
        <r>
          <rPr>
            <sz val="11"/>
            <color theme="1"/>
            <rFont val="Calibri"/>
            <family val="2"/>
            <scheme val="minor"/>
          </rPr>
          <t>Seleccionar un valor del listado</t>
        </r>
      </text>
    </comment>
    <comment ref="D1731" authorId="1">
      <text>
        <r>
          <rPr>
            <sz val="11"/>
            <color theme="1"/>
            <rFont val="Calibri"/>
            <family val="2"/>
            <scheme val="minor"/>
          </rPr>
          <t>Seleccione el tipo de procedimiento</t>
        </r>
      </text>
    </comment>
    <comment ref="E1731" authorId="2">
      <text>
        <r>
          <rPr>
            <sz val="11"/>
            <color theme="1"/>
            <rFont val="Calibri"/>
            <family val="2"/>
            <scheme val="minor"/>
          </rPr>
          <t>Seleccione un valor de la lista</t>
        </r>
      </text>
    </comment>
    <comment ref="F1731" authorId="2">
      <text>
        <r>
          <rPr>
            <sz val="11"/>
            <color theme="1"/>
            <rFont val="Calibri"/>
            <family val="2"/>
            <scheme val="minor"/>
          </rPr>
          <t>Introduzca el código SNIP</t>
        </r>
      </text>
    </comment>
    <comment ref="C1732" authorId="2">
      <text>
        <r>
          <rPr>
            <sz val="11"/>
            <color theme="1"/>
            <rFont val="Calibri"/>
            <family val="2"/>
            <scheme val="minor"/>
          </rPr>
          <t>Introduzca la fecha de inicio del proceso, en formato dd-mm-aaaa</t>
        </r>
      </text>
    </comment>
    <comment ref="F173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33" authorId="2">
      <text/>
    </comment>
    <comment ref="C1734" authorId="2">
      <text>
        <r>
          <rPr>
            <sz val="11"/>
            <color theme="1"/>
            <rFont val="Calibri"/>
            <family val="2"/>
            <scheme val="minor"/>
          </rPr>
          <t>Introduzca la fecha prevista de adjudicación, en formato dd-mm-aaaa</t>
        </r>
      </text>
    </comment>
    <comment ref="F1734" authorId="2">
      <text/>
    </comment>
    <comment ref="F1735" authorId="2">
      <text/>
    </comment>
    <comment ref="A1737" authorId="2">
      <text>
        <r>
          <rPr>
            <sz val="11"/>
            <color theme="1"/>
            <rFont val="Calibri"/>
            <family val="2"/>
            <scheme val="minor"/>
          </rPr>
          <t>Introduzca un codigo UNSPSC</t>
        </r>
      </text>
    </comment>
    <comment ref="B1737" authorId="2">
      <text>
        <r>
          <rPr>
            <sz val="11"/>
            <color theme="1"/>
            <rFont val="Calibri"/>
            <family val="2"/>
            <scheme val="minor"/>
          </rPr>
          <t>Descripción calculada automáticamente a partir de código del artículo</t>
        </r>
      </text>
    </comment>
    <comment ref="C1737" authorId="2">
      <text>
        <r>
          <rPr>
            <sz val="11"/>
            <color theme="1"/>
            <rFont val="Calibri"/>
            <family val="2"/>
            <scheme val="minor"/>
          </rPr>
          <t>Seleccione un valor de la lista</t>
        </r>
      </text>
    </comment>
    <comment ref="D1737" authorId="2">
      <text>
        <r>
          <rPr>
            <sz val="11"/>
            <color theme="1"/>
            <rFont val="Calibri"/>
            <family val="2"/>
            <scheme val="minor"/>
          </rPr>
          <t>Introduzca un número con dos decimales como máximo. Debe ser igual o mayor a la "Cantidad Real Consumida"</t>
        </r>
      </text>
    </comment>
    <comment ref="E1737" authorId="2">
      <text>
        <r>
          <rPr>
            <sz val="11"/>
            <color theme="1"/>
            <rFont val="Calibri"/>
            <family val="2"/>
            <scheme val="minor"/>
          </rPr>
          <t>Introduzca un número con dos decimales como máximo</t>
        </r>
      </text>
    </comment>
    <comment ref="F1737" authorId="2">
      <text>
        <r>
          <rPr>
            <sz val="11"/>
            <color theme="1"/>
            <rFont val="Calibri"/>
            <family val="2"/>
            <scheme val="minor"/>
          </rPr>
          <t>Monto calculado automáticamente por el sistema</t>
        </r>
      </text>
    </comment>
    <comment ref="A1743" authorId="2">
      <text>
        <r>
          <rPr>
            <sz val="11"/>
            <color theme="1"/>
            <rFont val="Calibri"/>
            <family val="2"/>
            <scheme val="minor"/>
          </rPr>
          <t>Introducir un texto con el nombre o referencia de la contratación</t>
        </r>
      </text>
    </comment>
    <comment ref="B1743" authorId="2">
      <text>
        <r>
          <rPr>
            <sz val="11"/>
            <color theme="1"/>
            <rFont val="Calibri"/>
            <family val="2"/>
            <scheme val="minor"/>
          </rPr>
          <t>Introduzca un texto con la finalidad de la contratación</t>
        </r>
      </text>
    </comment>
    <comment ref="C1743" authorId="2">
      <text>
        <r>
          <rPr>
            <sz val="11"/>
            <color theme="1"/>
            <rFont val="Calibri"/>
            <family val="2"/>
            <scheme val="minor"/>
          </rPr>
          <t>Seleccionar un valor del listado</t>
        </r>
      </text>
    </comment>
    <comment ref="D1743" authorId="1">
      <text>
        <r>
          <rPr>
            <sz val="11"/>
            <color theme="1"/>
            <rFont val="Calibri"/>
            <family val="2"/>
            <scheme val="minor"/>
          </rPr>
          <t>Seleccione el tipo de procedimiento</t>
        </r>
      </text>
    </comment>
    <comment ref="E1743" authorId="2">
      <text>
        <r>
          <rPr>
            <sz val="11"/>
            <color theme="1"/>
            <rFont val="Calibri"/>
            <family val="2"/>
            <scheme val="minor"/>
          </rPr>
          <t>Seleccione un valor de la lista</t>
        </r>
      </text>
    </comment>
    <comment ref="F1743" authorId="2">
      <text>
        <r>
          <rPr>
            <sz val="11"/>
            <color theme="1"/>
            <rFont val="Calibri"/>
            <family val="2"/>
            <scheme val="minor"/>
          </rPr>
          <t>Introduzca el código SNIP</t>
        </r>
      </text>
    </comment>
    <comment ref="C1744" authorId="2">
      <text>
        <r>
          <rPr>
            <sz val="11"/>
            <color theme="1"/>
            <rFont val="Calibri"/>
            <family val="2"/>
            <scheme val="minor"/>
          </rPr>
          <t>Introduzca la fecha de inicio del proceso, en formato dd-mm-aaaa</t>
        </r>
      </text>
    </comment>
    <comment ref="F174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45" authorId="2">
      <text/>
    </comment>
    <comment ref="C1746" authorId="2">
      <text>
        <r>
          <rPr>
            <sz val="11"/>
            <color theme="1"/>
            <rFont val="Calibri"/>
            <family val="2"/>
            <scheme val="minor"/>
          </rPr>
          <t>Introduzca la fecha prevista de adjudicación, en formato dd-mm-aaaa</t>
        </r>
      </text>
    </comment>
    <comment ref="F1746" authorId="2">
      <text/>
    </comment>
    <comment ref="F1747" authorId="2">
      <text/>
    </comment>
    <comment ref="A1749" authorId="2">
      <text>
        <r>
          <rPr>
            <sz val="11"/>
            <color theme="1"/>
            <rFont val="Calibri"/>
            <family val="2"/>
            <scheme val="minor"/>
          </rPr>
          <t>Introduzca un codigo UNSPSC</t>
        </r>
      </text>
    </comment>
    <comment ref="B1749" authorId="2">
      <text>
        <r>
          <rPr>
            <sz val="11"/>
            <color theme="1"/>
            <rFont val="Calibri"/>
            <family val="2"/>
            <scheme val="minor"/>
          </rPr>
          <t>Descripción calculada automáticamente a partir de código del artículo</t>
        </r>
      </text>
    </comment>
    <comment ref="C1749" authorId="2">
      <text>
        <r>
          <rPr>
            <sz val="11"/>
            <color theme="1"/>
            <rFont val="Calibri"/>
            <family val="2"/>
            <scheme val="minor"/>
          </rPr>
          <t>Seleccione un valor de la lista</t>
        </r>
      </text>
    </comment>
    <comment ref="D1749" authorId="2">
      <text>
        <r>
          <rPr>
            <sz val="11"/>
            <color theme="1"/>
            <rFont val="Calibri"/>
            <family val="2"/>
            <scheme val="minor"/>
          </rPr>
          <t>Introduzca un número con dos decimales como máximo. Debe ser igual o mayor a la "Cantidad Real Consumida"</t>
        </r>
      </text>
    </comment>
    <comment ref="E1749" authorId="2">
      <text>
        <r>
          <rPr>
            <sz val="11"/>
            <color theme="1"/>
            <rFont val="Calibri"/>
            <family val="2"/>
            <scheme val="minor"/>
          </rPr>
          <t>Introduzca un número con dos decimales como máximo</t>
        </r>
      </text>
    </comment>
    <comment ref="F1749" authorId="2">
      <text>
        <r>
          <rPr>
            <sz val="11"/>
            <color theme="1"/>
            <rFont val="Calibri"/>
            <family val="2"/>
            <scheme val="minor"/>
          </rPr>
          <t>Monto calculado automáticamente por el sistema</t>
        </r>
      </text>
    </comment>
    <comment ref="A1754" authorId="2">
      <text>
        <r>
          <rPr>
            <sz val="11"/>
            <color theme="1"/>
            <rFont val="Calibri"/>
            <family val="2"/>
            <scheme val="minor"/>
          </rPr>
          <t>Introducir un texto con el nombre o referencia de la contratación</t>
        </r>
      </text>
    </comment>
    <comment ref="B1754" authorId="2">
      <text>
        <r>
          <rPr>
            <sz val="11"/>
            <color theme="1"/>
            <rFont val="Calibri"/>
            <family val="2"/>
            <scheme val="minor"/>
          </rPr>
          <t>Introduzca un texto con la finalidad de la contratación</t>
        </r>
      </text>
    </comment>
    <comment ref="C1754" authorId="2">
      <text>
        <r>
          <rPr>
            <sz val="11"/>
            <color theme="1"/>
            <rFont val="Calibri"/>
            <family val="2"/>
            <scheme val="minor"/>
          </rPr>
          <t>Seleccionar un valor del listado</t>
        </r>
      </text>
    </comment>
    <comment ref="D1754" authorId="1">
      <text>
        <r>
          <rPr>
            <sz val="11"/>
            <color theme="1"/>
            <rFont val="Calibri"/>
            <family val="2"/>
            <scheme val="minor"/>
          </rPr>
          <t>Seleccione el tipo de procedimiento</t>
        </r>
      </text>
    </comment>
    <comment ref="E1754" authorId="2">
      <text>
        <r>
          <rPr>
            <sz val="11"/>
            <color theme="1"/>
            <rFont val="Calibri"/>
            <family val="2"/>
            <scheme val="minor"/>
          </rPr>
          <t>Seleccione un valor de la lista</t>
        </r>
      </text>
    </comment>
    <comment ref="F1754" authorId="2">
      <text>
        <r>
          <rPr>
            <sz val="11"/>
            <color theme="1"/>
            <rFont val="Calibri"/>
            <family val="2"/>
            <scheme val="minor"/>
          </rPr>
          <t>Introduzca el código SNIP</t>
        </r>
      </text>
    </comment>
    <comment ref="C1755" authorId="2">
      <text>
        <r>
          <rPr>
            <sz val="11"/>
            <color theme="1"/>
            <rFont val="Calibri"/>
            <family val="2"/>
            <scheme val="minor"/>
          </rPr>
          <t>Introduzca la fecha de inicio del proceso, en formato dd-mm-aaaa</t>
        </r>
      </text>
    </comment>
    <comment ref="F175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56" authorId="2">
      <text/>
    </comment>
    <comment ref="C1757" authorId="2">
      <text>
        <r>
          <rPr>
            <sz val="11"/>
            <color theme="1"/>
            <rFont val="Calibri"/>
            <family val="2"/>
            <scheme val="minor"/>
          </rPr>
          <t>Introduzca la fecha prevista de adjudicación, en formato dd-mm-aaaa</t>
        </r>
      </text>
    </comment>
    <comment ref="F1757" authorId="2">
      <text/>
    </comment>
    <comment ref="F1758" authorId="2">
      <text/>
    </comment>
    <comment ref="A1760" authorId="2">
      <text>
        <r>
          <rPr>
            <sz val="11"/>
            <color theme="1"/>
            <rFont val="Calibri"/>
            <family val="2"/>
            <scheme val="minor"/>
          </rPr>
          <t>Introduzca un codigo UNSPSC</t>
        </r>
      </text>
    </comment>
    <comment ref="B1760" authorId="2">
      <text>
        <r>
          <rPr>
            <sz val="11"/>
            <color theme="1"/>
            <rFont val="Calibri"/>
            <family val="2"/>
            <scheme val="minor"/>
          </rPr>
          <t>Descripción calculada automáticamente a partir de código del artículo</t>
        </r>
      </text>
    </comment>
    <comment ref="C1760" authorId="2">
      <text>
        <r>
          <rPr>
            <sz val="11"/>
            <color theme="1"/>
            <rFont val="Calibri"/>
            <family val="2"/>
            <scheme val="minor"/>
          </rPr>
          <t>Seleccione un valor de la lista</t>
        </r>
      </text>
    </comment>
    <comment ref="D1760" authorId="2">
      <text>
        <r>
          <rPr>
            <sz val="11"/>
            <color theme="1"/>
            <rFont val="Calibri"/>
            <family val="2"/>
            <scheme val="minor"/>
          </rPr>
          <t>Introduzca un número con dos decimales como máximo. Debe ser igual o mayor a la "Cantidad Real Consumida"</t>
        </r>
      </text>
    </comment>
    <comment ref="E1760" authorId="2">
      <text>
        <r>
          <rPr>
            <sz val="11"/>
            <color theme="1"/>
            <rFont val="Calibri"/>
            <family val="2"/>
            <scheme val="minor"/>
          </rPr>
          <t>Introduzca un número con dos decimales como máximo</t>
        </r>
      </text>
    </comment>
    <comment ref="F1760" authorId="2">
      <text>
        <r>
          <rPr>
            <sz val="11"/>
            <color theme="1"/>
            <rFont val="Calibri"/>
            <family val="2"/>
            <scheme val="minor"/>
          </rPr>
          <t>Monto calculado automáticamente por el sistema</t>
        </r>
      </text>
    </comment>
    <comment ref="A1765" authorId="2">
      <text>
        <r>
          <rPr>
            <sz val="11"/>
            <color theme="1"/>
            <rFont val="Calibri"/>
            <family val="2"/>
            <scheme val="minor"/>
          </rPr>
          <t>Introducir un texto con el nombre o referencia de la contratación</t>
        </r>
      </text>
    </comment>
    <comment ref="B1765" authorId="2">
      <text>
        <r>
          <rPr>
            <sz val="11"/>
            <color theme="1"/>
            <rFont val="Calibri"/>
            <family val="2"/>
            <scheme val="minor"/>
          </rPr>
          <t>Introduzca un texto con la finalidad de la contratación</t>
        </r>
      </text>
    </comment>
    <comment ref="C1765" authorId="2">
      <text>
        <r>
          <rPr>
            <sz val="11"/>
            <color theme="1"/>
            <rFont val="Calibri"/>
            <family val="2"/>
            <scheme val="minor"/>
          </rPr>
          <t>Seleccionar un valor del listado</t>
        </r>
      </text>
    </comment>
    <comment ref="D1765" authorId="1">
      <text>
        <r>
          <rPr>
            <sz val="11"/>
            <color theme="1"/>
            <rFont val="Calibri"/>
            <family val="2"/>
            <scheme val="minor"/>
          </rPr>
          <t>Seleccione el tipo de procedimiento</t>
        </r>
      </text>
    </comment>
    <comment ref="E1765" authorId="2">
      <text>
        <r>
          <rPr>
            <sz val="11"/>
            <color theme="1"/>
            <rFont val="Calibri"/>
            <family val="2"/>
            <scheme val="minor"/>
          </rPr>
          <t>Seleccione un valor de la lista</t>
        </r>
      </text>
    </comment>
    <comment ref="F1765" authorId="2">
      <text>
        <r>
          <rPr>
            <sz val="11"/>
            <color theme="1"/>
            <rFont val="Calibri"/>
            <family val="2"/>
            <scheme val="minor"/>
          </rPr>
          <t>Introduzca el código SNIP</t>
        </r>
      </text>
    </comment>
    <comment ref="C1766" authorId="2">
      <text>
        <r>
          <rPr>
            <sz val="11"/>
            <color theme="1"/>
            <rFont val="Calibri"/>
            <family val="2"/>
            <scheme val="minor"/>
          </rPr>
          <t>Introduzca la fecha de inicio del proceso, en formato dd-mm-aaaa</t>
        </r>
      </text>
    </comment>
    <comment ref="F176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67" authorId="2">
      <text/>
    </comment>
    <comment ref="C1768" authorId="2">
      <text>
        <r>
          <rPr>
            <sz val="11"/>
            <color theme="1"/>
            <rFont val="Calibri"/>
            <family val="2"/>
            <scheme val="minor"/>
          </rPr>
          <t>Introduzca la fecha prevista de adjudicación, en formato dd-mm-aaaa</t>
        </r>
      </text>
    </comment>
    <comment ref="F1768" authorId="2">
      <text/>
    </comment>
    <comment ref="F1769" authorId="2">
      <text/>
    </comment>
    <comment ref="A1771" authorId="2">
      <text>
        <r>
          <rPr>
            <sz val="11"/>
            <color theme="1"/>
            <rFont val="Calibri"/>
            <family val="2"/>
            <scheme val="minor"/>
          </rPr>
          <t>Introduzca un codigo UNSPSC</t>
        </r>
      </text>
    </comment>
    <comment ref="B1771" authorId="2">
      <text>
        <r>
          <rPr>
            <sz val="11"/>
            <color theme="1"/>
            <rFont val="Calibri"/>
            <family val="2"/>
            <scheme val="minor"/>
          </rPr>
          <t>Descripción calculada automáticamente a partir de código del artículo</t>
        </r>
      </text>
    </comment>
    <comment ref="C1771" authorId="2">
      <text>
        <r>
          <rPr>
            <sz val="11"/>
            <color theme="1"/>
            <rFont val="Calibri"/>
            <family val="2"/>
            <scheme val="minor"/>
          </rPr>
          <t>Seleccione un valor de la lista</t>
        </r>
      </text>
    </comment>
    <comment ref="D1771" authorId="2">
      <text>
        <r>
          <rPr>
            <sz val="11"/>
            <color theme="1"/>
            <rFont val="Calibri"/>
            <family val="2"/>
            <scheme val="minor"/>
          </rPr>
          <t>Introduzca un número con dos decimales como máximo. Debe ser igual o mayor a la "Cantidad Real Consumida"</t>
        </r>
      </text>
    </comment>
    <comment ref="E1771" authorId="2">
      <text>
        <r>
          <rPr>
            <sz val="11"/>
            <color theme="1"/>
            <rFont val="Calibri"/>
            <family val="2"/>
            <scheme val="minor"/>
          </rPr>
          <t>Introduzca un número con dos decimales como máximo</t>
        </r>
      </text>
    </comment>
    <comment ref="F1771" authorId="2">
      <text>
        <r>
          <rPr>
            <sz val="11"/>
            <color theme="1"/>
            <rFont val="Calibri"/>
            <family val="2"/>
            <scheme val="minor"/>
          </rPr>
          <t>Monto calculado automáticamente por el sistema</t>
        </r>
      </text>
    </comment>
    <comment ref="A1776" authorId="2">
      <text>
        <r>
          <rPr>
            <sz val="11"/>
            <color theme="1"/>
            <rFont val="Calibri"/>
            <family val="2"/>
            <scheme val="minor"/>
          </rPr>
          <t>Introducir un texto con el nombre o referencia de la contratación</t>
        </r>
      </text>
    </comment>
    <comment ref="B1776" authorId="2">
      <text>
        <r>
          <rPr>
            <sz val="11"/>
            <color theme="1"/>
            <rFont val="Calibri"/>
            <family val="2"/>
            <scheme val="minor"/>
          </rPr>
          <t>Introduzca un texto con la finalidad de la contratación</t>
        </r>
      </text>
    </comment>
    <comment ref="C1776" authorId="2">
      <text>
        <r>
          <rPr>
            <sz val="11"/>
            <color theme="1"/>
            <rFont val="Calibri"/>
            <family val="2"/>
            <scheme val="minor"/>
          </rPr>
          <t>Seleccionar un valor del listado</t>
        </r>
      </text>
    </comment>
    <comment ref="D1776" authorId="1">
      <text>
        <r>
          <rPr>
            <sz val="11"/>
            <color theme="1"/>
            <rFont val="Calibri"/>
            <family val="2"/>
            <scheme val="minor"/>
          </rPr>
          <t>Seleccione el tipo de procedimiento</t>
        </r>
      </text>
    </comment>
    <comment ref="E1776" authorId="2">
      <text>
        <r>
          <rPr>
            <sz val="11"/>
            <color theme="1"/>
            <rFont val="Calibri"/>
            <family val="2"/>
            <scheme val="minor"/>
          </rPr>
          <t>Seleccione un valor de la lista</t>
        </r>
      </text>
    </comment>
    <comment ref="F1776" authorId="2">
      <text>
        <r>
          <rPr>
            <sz val="11"/>
            <color theme="1"/>
            <rFont val="Calibri"/>
            <family val="2"/>
            <scheme val="minor"/>
          </rPr>
          <t>Introduzca el código SNIP</t>
        </r>
      </text>
    </comment>
    <comment ref="C1777" authorId="2">
      <text>
        <r>
          <rPr>
            <sz val="11"/>
            <color theme="1"/>
            <rFont val="Calibri"/>
            <family val="2"/>
            <scheme val="minor"/>
          </rPr>
          <t>Introduzca la fecha de inicio del proceso, en formato dd-mm-aaaa</t>
        </r>
      </text>
    </comment>
    <comment ref="F177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78" authorId="2">
      <text/>
    </comment>
    <comment ref="C1779" authorId="2">
      <text>
        <r>
          <rPr>
            <sz val="11"/>
            <color theme="1"/>
            <rFont val="Calibri"/>
            <family val="2"/>
            <scheme val="minor"/>
          </rPr>
          <t>Introduzca la fecha prevista de adjudicación, en formato dd-mm-aaaa</t>
        </r>
      </text>
    </comment>
    <comment ref="F1779" authorId="2">
      <text/>
    </comment>
    <comment ref="F1780" authorId="2">
      <text/>
    </comment>
    <comment ref="A1782" authorId="2">
      <text>
        <r>
          <rPr>
            <sz val="11"/>
            <color theme="1"/>
            <rFont val="Calibri"/>
            <family val="2"/>
            <scheme val="minor"/>
          </rPr>
          <t>Introduzca un codigo UNSPSC</t>
        </r>
      </text>
    </comment>
    <comment ref="B1782" authorId="2">
      <text>
        <r>
          <rPr>
            <sz val="11"/>
            <color theme="1"/>
            <rFont val="Calibri"/>
            <family val="2"/>
            <scheme val="minor"/>
          </rPr>
          <t>Descripción calculada automáticamente a partir de código del artículo</t>
        </r>
      </text>
    </comment>
    <comment ref="C1782" authorId="2">
      <text>
        <r>
          <rPr>
            <sz val="11"/>
            <color theme="1"/>
            <rFont val="Calibri"/>
            <family val="2"/>
            <scheme val="minor"/>
          </rPr>
          <t>Seleccione un valor de la lista</t>
        </r>
      </text>
    </comment>
    <comment ref="D1782" authorId="2">
      <text>
        <r>
          <rPr>
            <sz val="11"/>
            <color theme="1"/>
            <rFont val="Calibri"/>
            <family val="2"/>
            <scheme val="minor"/>
          </rPr>
          <t>Introduzca un número con dos decimales como máximo. Debe ser igual o mayor a la "Cantidad Real Consumida"</t>
        </r>
      </text>
    </comment>
    <comment ref="E1782" authorId="2">
      <text>
        <r>
          <rPr>
            <sz val="11"/>
            <color theme="1"/>
            <rFont val="Calibri"/>
            <family val="2"/>
            <scheme val="minor"/>
          </rPr>
          <t>Introduzca un número con dos decimales como máximo</t>
        </r>
      </text>
    </comment>
    <comment ref="F1782" authorId="2">
      <text>
        <r>
          <rPr>
            <sz val="11"/>
            <color theme="1"/>
            <rFont val="Calibri"/>
            <family val="2"/>
            <scheme val="minor"/>
          </rPr>
          <t>Monto calculado automáticamente por el sistema</t>
        </r>
      </text>
    </comment>
    <comment ref="A1787" authorId="2">
      <text>
        <r>
          <rPr>
            <sz val="11"/>
            <color theme="1"/>
            <rFont val="Calibri"/>
            <family val="2"/>
            <scheme val="minor"/>
          </rPr>
          <t>Introducir un texto con el nombre o referencia de la contratación</t>
        </r>
      </text>
    </comment>
    <comment ref="B1787" authorId="2">
      <text>
        <r>
          <rPr>
            <sz val="11"/>
            <color theme="1"/>
            <rFont val="Calibri"/>
            <family val="2"/>
            <scheme val="minor"/>
          </rPr>
          <t>Introduzca un texto con la finalidad de la contratación</t>
        </r>
      </text>
    </comment>
    <comment ref="C1787" authorId="2">
      <text>
        <r>
          <rPr>
            <sz val="11"/>
            <color theme="1"/>
            <rFont val="Calibri"/>
            <family val="2"/>
            <scheme val="minor"/>
          </rPr>
          <t>Seleccionar un valor del listado</t>
        </r>
      </text>
    </comment>
    <comment ref="D1787" authorId="1">
      <text>
        <r>
          <rPr>
            <sz val="11"/>
            <color theme="1"/>
            <rFont val="Calibri"/>
            <family val="2"/>
            <scheme val="minor"/>
          </rPr>
          <t>Seleccione el tipo de procedimiento</t>
        </r>
      </text>
    </comment>
    <comment ref="E1787" authorId="2">
      <text>
        <r>
          <rPr>
            <sz val="11"/>
            <color theme="1"/>
            <rFont val="Calibri"/>
            <family val="2"/>
            <scheme val="minor"/>
          </rPr>
          <t>Seleccione un valor de la lista</t>
        </r>
      </text>
    </comment>
    <comment ref="F1787" authorId="2">
      <text>
        <r>
          <rPr>
            <sz val="11"/>
            <color theme="1"/>
            <rFont val="Calibri"/>
            <family val="2"/>
            <scheme val="minor"/>
          </rPr>
          <t>Introduzca el código SNIP</t>
        </r>
      </text>
    </comment>
    <comment ref="C1788" authorId="2">
      <text>
        <r>
          <rPr>
            <sz val="11"/>
            <color theme="1"/>
            <rFont val="Calibri"/>
            <family val="2"/>
            <scheme val="minor"/>
          </rPr>
          <t>Introduzca la fecha de inicio del proceso, en formato dd-mm-aaaa</t>
        </r>
      </text>
    </comment>
    <comment ref="F1788"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9" authorId="2">
      <text/>
    </comment>
    <comment ref="C1790" authorId="2">
      <text>
        <r>
          <rPr>
            <sz val="11"/>
            <color theme="1"/>
            <rFont val="Calibri"/>
            <family val="2"/>
            <scheme val="minor"/>
          </rPr>
          <t>Introduzca la fecha prevista de adjudicación, en formato dd-mm-aaaa</t>
        </r>
      </text>
    </comment>
    <comment ref="F1790" authorId="2">
      <text/>
    </comment>
    <comment ref="F1791" authorId="2">
      <text/>
    </comment>
    <comment ref="A1793" authorId="2">
      <text>
        <r>
          <rPr>
            <sz val="11"/>
            <color theme="1"/>
            <rFont val="Calibri"/>
            <family val="2"/>
            <scheme val="minor"/>
          </rPr>
          <t>Introduzca un codigo UNSPSC</t>
        </r>
      </text>
    </comment>
    <comment ref="B1793" authorId="2">
      <text>
        <r>
          <rPr>
            <sz val="11"/>
            <color theme="1"/>
            <rFont val="Calibri"/>
            <family val="2"/>
            <scheme val="minor"/>
          </rPr>
          <t>Descripción calculada automáticamente a partir de código del artículo</t>
        </r>
      </text>
    </comment>
    <comment ref="C1793" authorId="2">
      <text>
        <r>
          <rPr>
            <sz val="11"/>
            <color theme="1"/>
            <rFont val="Calibri"/>
            <family val="2"/>
            <scheme val="minor"/>
          </rPr>
          <t>Seleccione un valor de la lista</t>
        </r>
      </text>
    </comment>
    <comment ref="D1793" authorId="2">
      <text>
        <r>
          <rPr>
            <sz val="11"/>
            <color theme="1"/>
            <rFont val="Calibri"/>
            <family val="2"/>
            <scheme val="minor"/>
          </rPr>
          <t>Introduzca un número con dos decimales como máximo. Debe ser igual o mayor a la "Cantidad Real Consumida"</t>
        </r>
      </text>
    </comment>
    <comment ref="E1793" authorId="2">
      <text>
        <r>
          <rPr>
            <sz val="11"/>
            <color theme="1"/>
            <rFont val="Calibri"/>
            <family val="2"/>
            <scheme val="minor"/>
          </rPr>
          <t>Introduzca un número con dos decimales como máximo</t>
        </r>
      </text>
    </comment>
    <comment ref="F1793" authorId="2">
      <text>
        <r>
          <rPr>
            <sz val="11"/>
            <color theme="1"/>
            <rFont val="Calibri"/>
            <family val="2"/>
            <scheme val="minor"/>
          </rPr>
          <t>Monto calculado automáticamente por el sistema</t>
        </r>
      </text>
    </comment>
    <comment ref="A1798" authorId="2">
      <text>
        <r>
          <rPr>
            <sz val="11"/>
            <color theme="1"/>
            <rFont val="Calibri"/>
            <family val="2"/>
            <scheme val="minor"/>
          </rPr>
          <t>Introducir un texto con el nombre o referencia de la contratación</t>
        </r>
      </text>
    </comment>
    <comment ref="B1798" authorId="2">
      <text>
        <r>
          <rPr>
            <sz val="11"/>
            <color theme="1"/>
            <rFont val="Calibri"/>
            <family val="2"/>
            <scheme val="minor"/>
          </rPr>
          <t>Introduzca un texto con la finalidad de la contratación</t>
        </r>
      </text>
    </comment>
    <comment ref="C1798" authorId="2">
      <text>
        <r>
          <rPr>
            <sz val="11"/>
            <color theme="1"/>
            <rFont val="Calibri"/>
            <family val="2"/>
            <scheme val="minor"/>
          </rPr>
          <t>Seleccionar un valor del listado</t>
        </r>
      </text>
    </comment>
    <comment ref="D1798" authorId="1">
      <text>
        <r>
          <rPr>
            <sz val="11"/>
            <color theme="1"/>
            <rFont val="Calibri"/>
            <family val="2"/>
            <scheme val="minor"/>
          </rPr>
          <t>Seleccione el tipo de procedimiento</t>
        </r>
      </text>
    </comment>
    <comment ref="E1798" authorId="2">
      <text>
        <r>
          <rPr>
            <sz val="11"/>
            <color theme="1"/>
            <rFont val="Calibri"/>
            <family val="2"/>
            <scheme val="minor"/>
          </rPr>
          <t>Seleccione un valor de la lista</t>
        </r>
      </text>
    </comment>
    <comment ref="F1798" authorId="2">
      <text>
        <r>
          <rPr>
            <sz val="11"/>
            <color theme="1"/>
            <rFont val="Calibri"/>
            <family val="2"/>
            <scheme val="minor"/>
          </rPr>
          <t>Introduzca el código SNIP</t>
        </r>
      </text>
    </comment>
    <comment ref="C1799" authorId="2">
      <text>
        <r>
          <rPr>
            <sz val="11"/>
            <color theme="1"/>
            <rFont val="Calibri"/>
            <family val="2"/>
            <scheme val="minor"/>
          </rPr>
          <t>Introduzca la fecha de inicio del proceso, en formato dd-mm-aaaa</t>
        </r>
      </text>
    </comment>
    <comment ref="F179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00" authorId="2">
      <text/>
    </comment>
    <comment ref="C1801" authorId="2">
      <text>
        <r>
          <rPr>
            <sz val="11"/>
            <color theme="1"/>
            <rFont val="Calibri"/>
            <family val="2"/>
            <scheme val="minor"/>
          </rPr>
          <t>Introduzca la fecha prevista de adjudicación, en formato dd-mm-aaaa</t>
        </r>
      </text>
    </comment>
    <comment ref="F1801" authorId="2">
      <text/>
    </comment>
    <comment ref="F1802" authorId="2">
      <text/>
    </comment>
    <comment ref="A1804" authorId="2">
      <text>
        <r>
          <rPr>
            <sz val="11"/>
            <color theme="1"/>
            <rFont val="Calibri"/>
            <family val="2"/>
            <scheme val="minor"/>
          </rPr>
          <t>Introduzca un codigo UNSPSC</t>
        </r>
      </text>
    </comment>
    <comment ref="B1804" authorId="2">
      <text>
        <r>
          <rPr>
            <sz val="11"/>
            <color theme="1"/>
            <rFont val="Calibri"/>
            <family val="2"/>
            <scheme val="minor"/>
          </rPr>
          <t>Descripción calculada automáticamente a partir de código del artículo</t>
        </r>
      </text>
    </comment>
    <comment ref="C1804" authorId="2">
      <text>
        <r>
          <rPr>
            <sz val="11"/>
            <color theme="1"/>
            <rFont val="Calibri"/>
            <family val="2"/>
            <scheme val="minor"/>
          </rPr>
          <t>Seleccione un valor de la lista</t>
        </r>
      </text>
    </comment>
    <comment ref="D1804" authorId="2">
      <text>
        <r>
          <rPr>
            <sz val="11"/>
            <color theme="1"/>
            <rFont val="Calibri"/>
            <family val="2"/>
            <scheme val="minor"/>
          </rPr>
          <t>Introduzca un número con dos decimales como máximo. Debe ser igual o mayor a la "Cantidad Real Consumida"</t>
        </r>
      </text>
    </comment>
    <comment ref="E1804" authorId="2">
      <text>
        <r>
          <rPr>
            <sz val="11"/>
            <color theme="1"/>
            <rFont val="Calibri"/>
            <family val="2"/>
            <scheme val="minor"/>
          </rPr>
          <t>Introduzca un número con dos decimales como máximo</t>
        </r>
      </text>
    </comment>
    <comment ref="F1804" authorId="2">
      <text>
        <r>
          <rPr>
            <sz val="11"/>
            <color theme="1"/>
            <rFont val="Calibri"/>
            <family val="2"/>
            <scheme val="minor"/>
          </rPr>
          <t>Monto calculado automáticamente por el sistema</t>
        </r>
      </text>
    </comment>
    <comment ref="A1809" authorId="2">
      <text>
        <r>
          <rPr>
            <sz val="11"/>
            <color theme="1"/>
            <rFont val="Calibri"/>
            <family val="2"/>
            <scheme val="minor"/>
          </rPr>
          <t>Introducir un texto con el nombre o referencia de la contratación</t>
        </r>
      </text>
    </comment>
    <comment ref="B1809" authorId="2">
      <text>
        <r>
          <rPr>
            <sz val="11"/>
            <color theme="1"/>
            <rFont val="Calibri"/>
            <family val="2"/>
            <scheme val="minor"/>
          </rPr>
          <t>Introduzca un texto con la finalidad de la contratación</t>
        </r>
      </text>
    </comment>
    <comment ref="C1809" authorId="2">
      <text>
        <r>
          <rPr>
            <sz val="11"/>
            <color theme="1"/>
            <rFont val="Calibri"/>
            <family val="2"/>
            <scheme val="minor"/>
          </rPr>
          <t>Seleccionar un valor del listado</t>
        </r>
      </text>
    </comment>
    <comment ref="D1809" authorId="1">
      <text>
        <r>
          <rPr>
            <sz val="11"/>
            <color theme="1"/>
            <rFont val="Calibri"/>
            <family val="2"/>
            <scheme val="minor"/>
          </rPr>
          <t>Seleccione el tipo de procedimiento</t>
        </r>
      </text>
    </comment>
    <comment ref="E1809" authorId="2">
      <text>
        <r>
          <rPr>
            <sz val="11"/>
            <color theme="1"/>
            <rFont val="Calibri"/>
            <family val="2"/>
            <scheme val="minor"/>
          </rPr>
          <t>Seleccione un valor de la lista</t>
        </r>
      </text>
    </comment>
    <comment ref="F1809" authorId="2">
      <text>
        <r>
          <rPr>
            <sz val="11"/>
            <color theme="1"/>
            <rFont val="Calibri"/>
            <family val="2"/>
            <scheme val="minor"/>
          </rPr>
          <t>Introduzca el código SNIP</t>
        </r>
      </text>
    </comment>
    <comment ref="C1810" authorId="2">
      <text>
        <r>
          <rPr>
            <sz val="11"/>
            <color theme="1"/>
            <rFont val="Calibri"/>
            <family val="2"/>
            <scheme val="minor"/>
          </rPr>
          <t>Introduzca la fecha de inicio del proceso, en formato dd-mm-aaaa</t>
        </r>
      </text>
    </comment>
    <comment ref="F181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11" authorId="2">
      <text/>
    </comment>
    <comment ref="C1812" authorId="2">
      <text>
        <r>
          <rPr>
            <sz val="11"/>
            <color theme="1"/>
            <rFont val="Calibri"/>
            <family val="2"/>
            <scheme val="minor"/>
          </rPr>
          <t>Introduzca la fecha prevista de adjudicación, en formato dd-mm-aaaa</t>
        </r>
      </text>
    </comment>
    <comment ref="F1812" authorId="2">
      <text/>
    </comment>
    <comment ref="F1813" authorId="2">
      <text/>
    </comment>
    <comment ref="A1815" authorId="2">
      <text>
        <r>
          <rPr>
            <sz val="11"/>
            <color theme="1"/>
            <rFont val="Calibri"/>
            <family val="2"/>
            <scheme val="minor"/>
          </rPr>
          <t>Introduzca un codigo UNSPSC</t>
        </r>
      </text>
    </comment>
    <comment ref="B1815" authorId="2">
      <text>
        <r>
          <rPr>
            <sz val="11"/>
            <color theme="1"/>
            <rFont val="Calibri"/>
            <family val="2"/>
            <scheme val="minor"/>
          </rPr>
          <t>Descripción calculada automáticamente a partir de código del artículo</t>
        </r>
      </text>
    </comment>
    <comment ref="C1815" authorId="2">
      <text>
        <r>
          <rPr>
            <sz val="11"/>
            <color theme="1"/>
            <rFont val="Calibri"/>
            <family val="2"/>
            <scheme val="minor"/>
          </rPr>
          <t>Seleccione un valor de la lista</t>
        </r>
      </text>
    </comment>
    <comment ref="D1815" authorId="2">
      <text>
        <r>
          <rPr>
            <sz val="11"/>
            <color theme="1"/>
            <rFont val="Calibri"/>
            <family val="2"/>
            <scheme val="minor"/>
          </rPr>
          <t>Introduzca un número con dos decimales como máximo. Debe ser igual o mayor a la "Cantidad Real Consumida"</t>
        </r>
      </text>
    </comment>
    <comment ref="E1815" authorId="2">
      <text>
        <r>
          <rPr>
            <sz val="11"/>
            <color theme="1"/>
            <rFont val="Calibri"/>
            <family val="2"/>
            <scheme val="minor"/>
          </rPr>
          <t>Introduzca un número con dos decimales como máximo</t>
        </r>
      </text>
    </comment>
    <comment ref="F1815" authorId="2">
      <text>
        <r>
          <rPr>
            <sz val="11"/>
            <color theme="1"/>
            <rFont val="Calibri"/>
            <family val="2"/>
            <scheme val="minor"/>
          </rPr>
          <t>Monto calculado automáticamente por el sistema</t>
        </r>
      </text>
    </comment>
    <comment ref="A1820" authorId="2">
      <text>
        <r>
          <rPr>
            <sz val="11"/>
            <color theme="1"/>
            <rFont val="Calibri"/>
            <family val="2"/>
            <scheme val="minor"/>
          </rPr>
          <t>Introducir un texto con el nombre o referencia de la contratación</t>
        </r>
      </text>
    </comment>
    <comment ref="B1820" authorId="2">
      <text>
        <r>
          <rPr>
            <sz val="11"/>
            <color theme="1"/>
            <rFont val="Calibri"/>
            <family val="2"/>
            <scheme val="minor"/>
          </rPr>
          <t>Introduzca un texto con la finalidad de la contratación</t>
        </r>
      </text>
    </comment>
    <comment ref="C1820" authorId="2">
      <text>
        <r>
          <rPr>
            <sz val="11"/>
            <color theme="1"/>
            <rFont val="Calibri"/>
            <family val="2"/>
            <scheme val="minor"/>
          </rPr>
          <t>Seleccionar un valor del listado</t>
        </r>
      </text>
    </comment>
    <comment ref="D1820" authorId="1">
      <text>
        <r>
          <rPr>
            <sz val="11"/>
            <color theme="1"/>
            <rFont val="Calibri"/>
            <family val="2"/>
            <scheme val="minor"/>
          </rPr>
          <t>Seleccione el tipo de procedimiento</t>
        </r>
      </text>
    </comment>
    <comment ref="E1820" authorId="2">
      <text>
        <r>
          <rPr>
            <sz val="11"/>
            <color theme="1"/>
            <rFont val="Calibri"/>
            <family val="2"/>
            <scheme val="minor"/>
          </rPr>
          <t>Seleccione un valor de la lista</t>
        </r>
      </text>
    </comment>
    <comment ref="F1820" authorId="2">
      <text>
        <r>
          <rPr>
            <sz val="11"/>
            <color theme="1"/>
            <rFont val="Calibri"/>
            <family val="2"/>
            <scheme val="minor"/>
          </rPr>
          <t>Introduzca el código SNIP</t>
        </r>
      </text>
    </comment>
    <comment ref="C1821" authorId="2">
      <text>
        <r>
          <rPr>
            <sz val="11"/>
            <color theme="1"/>
            <rFont val="Calibri"/>
            <family val="2"/>
            <scheme val="minor"/>
          </rPr>
          <t>Introduzca la fecha de inicio del proceso, en formato dd-mm-aaaa</t>
        </r>
      </text>
    </comment>
    <comment ref="F182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22" authorId="2">
      <text/>
    </comment>
    <comment ref="C1823" authorId="2">
      <text>
        <r>
          <rPr>
            <sz val="11"/>
            <color theme="1"/>
            <rFont val="Calibri"/>
            <family val="2"/>
            <scheme val="minor"/>
          </rPr>
          <t>Introduzca la fecha prevista de adjudicación, en formato dd-mm-aaaa</t>
        </r>
      </text>
    </comment>
    <comment ref="F1823" authorId="2">
      <text/>
    </comment>
    <comment ref="F1824" authorId="2">
      <text/>
    </comment>
    <comment ref="A1826" authorId="2">
      <text>
        <r>
          <rPr>
            <sz val="11"/>
            <color theme="1"/>
            <rFont val="Calibri"/>
            <family val="2"/>
            <scheme val="minor"/>
          </rPr>
          <t>Introduzca un codigo UNSPSC</t>
        </r>
      </text>
    </comment>
    <comment ref="B1826" authorId="2">
      <text>
        <r>
          <rPr>
            <sz val="11"/>
            <color theme="1"/>
            <rFont val="Calibri"/>
            <family val="2"/>
            <scheme val="minor"/>
          </rPr>
          <t>Descripción calculada automáticamente a partir de código del artículo</t>
        </r>
      </text>
    </comment>
    <comment ref="C1826" authorId="2">
      <text>
        <r>
          <rPr>
            <sz val="11"/>
            <color theme="1"/>
            <rFont val="Calibri"/>
            <family val="2"/>
            <scheme val="minor"/>
          </rPr>
          <t>Seleccione un valor de la lista</t>
        </r>
      </text>
    </comment>
    <comment ref="D1826" authorId="2">
      <text>
        <r>
          <rPr>
            <sz val="11"/>
            <color theme="1"/>
            <rFont val="Calibri"/>
            <family val="2"/>
            <scheme val="minor"/>
          </rPr>
          <t>Introduzca un número con dos decimales como máximo. Debe ser igual o mayor a la "Cantidad Real Consumida"</t>
        </r>
      </text>
    </comment>
    <comment ref="E1826" authorId="2">
      <text>
        <r>
          <rPr>
            <sz val="11"/>
            <color theme="1"/>
            <rFont val="Calibri"/>
            <family val="2"/>
            <scheme val="minor"/>
          </rPr>
          <t>Introduzca un número con dos decimales como máximo</t>
        </r>
      </text>
    </comment>
    <comment ref="F1826" authorId="2">
      <text>
        <r>
          <rPr>
            <sz val="11"/>
            <color theme="1"/>
            <rFont val="Calibri"/>
            <family val="2"/>
            <scheme val="minor"/>
          </rPr>
          <t>Monto calculado automáticamente por el sistema</t>
        </r>
      </text>
    </comment>
    <comment ref="A1831" authorId="2">
      <text>
        <r>
          <rPr>
            <sz val="11"/>
            <color theme="1"/>
            <rFont val="Calibri"/>
            <family val="2"/>
            <scheme val="minor"/>
          </rPr>
          <t>Introducir un texto con el nombre o referencia de la contratación</t>
        </r>
      </text>
    </comment>
    <comment ref="B1831" authorId="2">
      <text>
        <r>
          <rPr>
            <sz val="11"/>
            <color theme="1"/>
            <rFont val="Calibri"/>
            <family val="2"/>
            <scheme val="minor"/>
          </rPr>
          <t>Introduzca un texto con la finalidad de la contratación</t>
        </r>
      </text>
    </comment>
    <comment ref="C1831" authorId="2">
      <text>
        <r>
          <rPr>
            <sz val="11"/>
            <color theme="1"/>
            <rFont val="Calibri"/>
            <family val="2"/>
            <scheme val="minor"/>
          </rPr>
          <t>Seleccionar un valor del listado</t>
        </r>
      </text>
    </comment>
    <comment ref="D1831" authorId="1">
      <text>
        <r>
          <rPr>
            <sz val="11"/>
            <color theme="1"/>
            <rFont val="Calibri"/>
            <family val="2"/>
            <scheme val="minor"/>
          </rPr>
          <t>Seleccione el tipo de procedimiento</t>
        </r>
      </text>
    </comment>
    <comment ref="E1831" authorId="2">
      <text>
        <r>
          <rPr>
            <sz val="11"/>
            <color theme="1"/>
            <rFont val="Calibri"/>
            <family val="2"/>
            <scheme val="minor"/>
          </rPr>
          <t>Seleccione un valor de la lista</t>
        </r>
      </text>
    </comment>
    <comment ref="F1831" authorId="2">
      <text>
        <r>
          <rPr>
            <sz val="11"/>
            <color theme="1"/>
            <rFont val="Calibri"/>
            <family val="2"/>
            <scheme val="minor"/>
          </rPr>
          <t>Introduzca el código SNIP</t>
        </r>
      </text>
    </comment>
    <comment ref="C1832" authorId="2">
      <text>
        <r>
          <rPr>
            <sz val="11"/>
            <color theme="1"/>
            <rFont val="Calibri"/>
            <family val="2"/>
            <scheme val="minor"/>
          </rPr>
          <t>Introduzca la fecha de inicio del proceso, en formato dd-mm-aaaa</t>
        </r>
      </text>
    </comment>
    <comment ref="F1832"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33" authorId="2">
      <text/>
    </comment>
    <comment ref="C1834" authorId="2">
      <text>
        <r>
          <rPr>
            <sz val="11"/>
            <color theme="1"/>
            <rFont val="Calibri"/>
            <family val="2"/>
            <scheme val="minor"/>
          </rPr>
          <t>Introduzca la fecha prevista de adjudicación, en formato dd-mm-aaaa</t>
        </r>
      </text>
    </comment>
    <comment ref="F1834" authorId="2">
      <text/>
    </comment>
    <comment ref="F1835" authorId="2">
      <text/>
    </comment>
    <comment ref="A1837" authorId="2">
      <text>
        <r>
          <rPr>
            <sz val="11"/>
            <color theme="1"/>
            <rFont val="Calibri"/>
            <family val="2"/>
            <scheme val="minor"/>
          </rPr>
          <t>Introduzca un codigo UNSPSC</t>
        </r>
      </text>
    </comment>
    <comment ref="B1837" authorId="2">
      <text>
        <r>
          <rPr>
            <sz val="11"/>
            <color theme="1"/>
            <rFont val="Calibri"/>
            <family val="2"/>
            <scheme val="minor"/>
          </rPr>
          <t>Descripción calculada automáticamente a partir de código del artículo</t>
        </r>
      </text>
    </comment>
    <comment ref="C1837" authorId="2">
      <text>
        <r>
          <rPr>
            <sz val="11"/>
            <color theme="1"/>
            <rFont val="Calibri"/>
            <family val="2"/>
            <scheme val="minor"/>
          </rPr>
          <t>Seleccione un valor de la lista</t>
        </r>
      </text>
    </comment>
    <comment ref="D1837" authorId="2">
      <text>
        <r>
          <rPr>
            <sz val="11"/>
            <color theme="1"/>
            <rFont val="Calibri"/>
            <family val="2"/>
            <scheme val="minor"/>
          </rPr>
          <t>Introduzca un número con dos decimales como máximo. Debe ser igual o mayor a la "Cantidad Real Consumida"</t>
        </r>
      </text>
    </comment>
    <comment ref="E1837" authorId="2">
      <text>
        <r>
          <rPr>
            <sz val="11"/>
            <color theme="1"/>
            <rFont val="Calibri"/>
            <family val="2"/>
            <scheme val="minor"/>
          </rPr>
          <t>Introduzca un número con dos decimales como máximo</t>
        </r>
      </text>
    </comment>
    <comment ref="F1837" authorId="2">
      <text>
        <r>
          <rPr>
            <sz val="11"/>
            <color theme="1"/>
            <rFont val="Calibri"/>
            <family val="2"/>
            <scheme val="minor"/>
          </rPr>
          <t>Monto calculado automáticamente por el sistema</t>
        </r>
      </text>
    </comment>
    <comment ref="A1842" authorId="2">
      <text>
        <r>
          <rPr>
            <sz val="11"/>
            <color theme="1"/>
            <rFont val="Calibri"/>
            <family val="2"/>
            <scheme val="minor"/>
          </rPr>
          <t>Introducir un texto con el nombre o referencia de la contratación</t>
        </r>
      </text>
    </comment>
    <comment ref="B1842" authorId="2">
      <text>
        <r>
          <rPr>
            <sz val="11"/>
            <color theme="1"/>
            <rFont val="Calibri"/>
            <family val="2"/>
            <scheme val="minor"/>
          </rPr>
          <t>Introduzca un texto con la finalidad de la contratación</t>
        </r>
      </text>
    </comment>
    <comment ref="C1842" authorId="2">
      <text>
        <r>
          <rPr>
            <sz val="11"/>
            <color theme="1"/>
            <rFont val="Calibri"/>
            <family val="2"/>
            <scheme val="minor"/>
          </rPr>
          <t>Seleccionar un valor del listado</t>
        </r>
      </text>
    </comment>
    <comment ref="D1842" authorId="1">
      <text>
        <r>
          <rPr>
            <sz val="11"/>
            <color theme="1"/>
            <rFont val="Calibri"/>
            <family val="2"/>
            <scheme val="minor"/>
          </rPr>
          <t>Seleccione el tipo de procedimiento</t>
        </r>
      </text>
    </comment>
    <comment ref="E1842" authorId="2">
      <text>
        <r>
          <rPr>
            <sz val="11"/>
            <color theme="1"/>
            <rFont val="Calibri"/>
            <family val="2"/>
            <scheme val="minor"/>
          </rPr>
          <t>Seleccione un valor de la lista</t>
        </r>
      </text>
    </comment>
    <comment ref="F1842" authorId="2">
      <text>
        <r>
          <rPr>
            <sz val="11"/>
            <color theme="1"/>
            <rFont val="Calibri"/>
            <family val="2"/>
            <scheme val="minor"/>
          </rPr>
          <t>Introduzca el código SNIP</t>
        </r>
      </text>
    </comment>
    <comment ref="C1843" authorId="2">
      <text>
        <r>
          <rPr>
            <sz val="11"/>
            <color theme="1"/>
            <rFont val="Calibri"/>
            <family val="2"/>
            <scheme val="minor"/>
          </rPr>
          <t>Introduzca la fecha de inicio del proceso, en formato dd-mm-aaaa</t>
        </r>
      </text>
    </comment>
    <comment ref="F184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44" authorId="2">
      <text/>
    </comment>
    <comment ref="C1845" authorId="2">
      <text>
        <r>
          <rPr>
            <sz val="11"/>
            <color theme="1"/>
            <rFont val="Calibri"/>
            <family val="2"/>
            <scheme val="minor"/>
          </rPr>
          <t>Introduzca la fecha prevista de adjudicación, en formato dd-mm-aaaa</t>
        </r>
      </text>
    </comment>
    <comment ref="F1845" authorId="2">
      <text/>
    </comment>
    <comment ref="F1846" authorId="2">
      <text/>
    </comment>
    <comment ref="A1848" authorId="2">
      <text>
        <r>
          <rPr>
            <sz val="11"/>
            <color theme="1"/>
            <rFont val="Calibri"/>
            <family val="2"/>
            <scheme val="minor"/>
          </rPr>
          <t>Introduzca un codigo UNSPSC</t>
        </r>
      </text>
    </comment>
    <comment ref="B1848" authorId="2">
      <text>
        <r>
          <rPr>
            <sz val="11"/>
            <color theme="1"/>
            <rFont val="Calibri"/>
            <family val="2"/>
            <scheme val="minor"/>
          </rPr>
          <t>Descripción calculada automáticamente a partir de código del artículo</t>
        </r>
      </text>
    </comment>
    <comment ref="C1848" authorId="2">
      <text>
        <r>
          <rPr>
            <sz val="11"/>
            <color theme="1"/>
            <rFont val="Calibri"/>
            <family val="2"/>
            <scheme val="minor"/>
          </rPr>
          <t>Seleccione un valor de la lista</t>
        </r>
      </text>
    </comment>
    <comment ref="D1848" authorId="2">
      <text>
        <r>
          <rPr>
            <sz val="11"/>
            <color theme="1"/>
            <rFont val="Calibri"/>
            <family val="2"/>
            <scheme val="minor"/>
          </rPr>
          <t>Introduzca un número con dos decimales como máximo. Debe ser igual o mayor a la "Cantidad Real Consumida"</t>
        </r>
      </text>
    </comment>
    <comment ref="E1848" authorId="2">
      <text>
        <r>
          <rPr>
            <sz val="11"/>
            <color theme="1"/>
            <rFont val="Calibri"/>
            <family val="2"/>
            <scheme val="minor"/>
          </rPr>
          <t>Introduzca un número con dos decimales como máximo</t>
        </r>
      </text>
    </comment>
    <comment ref="F1848" authorId="2">
      <text>
        <r>
          <rPr>
            <sz val="11"/>
            <color theme="1"/>
            <rFont val="Calibri"/>
            <family val="2"/>
            <scheme val="minor"/>
          </rPr>
          <t>Monto calculado automáticamente por el sistema</t>
        </r>
      </text>
    </comment>
    <comment ref="A1853" authorId="2">
      <text>
        <r>
          <rPr>
            <sz val="11"/>
            <color theme="1"/>
            <rFont val="Calibri"/>
            <family val="2"/>
            <scheme val="minor"/>
          </rPr>
          <t>Introducir un texto con el nombre o referencia de la contratación</t>
        </r>
      </text>
    </comment>
    <comment ref="B1853" authorId="2">
      <text>
        <r>
          <rPr>
            <sz val="11"/>
            <color theme="1"/>
            <rFont val="Calibri"/>
            <family val="2"/>
            <scheme val="minor"/>
          </rPr>
          <t>Introduzca un texto con la finalidad de la contratación</t>
        </r>
      </text>
    </comment>
    <comment ref="C1853" authorId="2">
      <text>
        <r>
          <rPr>
            <sz val="11"/>
            <color theme="1"/>
            <rFont val="Calibri"/>
            <family val="2"/>
            <scheme val="minor"/>
          </rPr>
          <t>Seleccionar un valor del listado</t>
        </r>
      </text>
    </comment>
    <comment ref="D1853" authorId="1">
      <text>
        <r>
          <rPr>
            <sz val="11"/>
            <color theme="1"/>
            <rFont val="Calibri"/>
            <family val="2"/>
            <scheme val="minor"/>
          </rPr>
          <t>Seleccione el tipo de procedimiento</t>
        </r>
      </text>
    </comment>
    <comment ref="E1853" authorId="2">
      <text>
        <r>
          <rPr>
            <sz val="11"/>
            <color theme="1"/>
            <rFont val="Calibri"/>
            <family val="2"/>
            <scheme val="minor"/>
          </rPr>
          <t>Seleccione un valor de la lista</t>
        </r>
      </text>
    </comment>
    <comment ref="F1853" authorId="2">
      <text>
        <r>
          <rPr>
            <sz val="11"/>
            <color theme="1"/>
            <rFont val="Calibri"/>
            <family val="2"/>
            <scheme val="minor"/>
          </rPr>
          <t>Introduzca el código SNIP</t>
        </r>
      </text>
    </comment>
    <comment ref="C1854" authorId="2">
      <text>
        <r>
          <rPr>
            <sz val="11"/>
            <color theme="1"/>
            <rFont val="Calibri"/>
            <family val="2"/>
            <scheme val="minor"/>
          </rPr>
          <t>Introduzca la fecha de inicio del proceso, en formato dd-mm-aaaa</t>
        </r>
      </text>
    </comment>
    <comment ref="F185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55" authorId="2">
      <text/>
    </comment>
    <comment ref="C1856" authorId="2">
      <text>
        <r>
          <rPr>
            <sz val="11"/>
            <color theme="1"/>
            <rFont val="Calibri"/>
            <family val="2"/>
            <scheme val="minor"/>
          </rPr>
          <t>Introduzca la fecha prevista de adjudicación, en formato dd-mm-aaaa</t>
        </r>
      </text>
    </comment>
    <comment ref="F1856" authorId="2">
      <text/>
    </comment>
    <comment ref="F1857" authorId="2">
      <text/>
    </comment>
    <comment ref="A1859" authorId="2">
      <text>
        <r>
          <rPr>
            <sz val="11"/>
            <color theme="1"/>
            <rFont val="Calibri"/>
            <family val="2"/>
            <scheme val="minor"/>
          </rPr>
          <t>Introduzca un codigo UNSPSC</t>
        </r>
      </text>
    </comment>
    <comment ref="B1859" authorId="2">
      <text>
        <r>
          <rPr>
            <sz val="11"/>
            <color theme="1"/>
            <rFont val="Calibri"/>
            <family val="2"/>
            <scheme val="minor"/>
          </rPr>
          <t>Descripción calculada automáticamente a partir de código del artículo</t>
        </r>
      </text>
    </comment>
    <comment ref="C1859" authorId="2">
      <text>
        <r>
          <rPr>
            <sz val="11"/>
            <color theme="1"/>
            <rFont val="Calibri"/>
            <family val="2"/>
            <scheme val="minor"/>
          </rPr>
          <t>Seleccione un valor de la lista</t>
        </r>
      </text>
    </comment>
    <comment ref="D1859" authorId="2">
      <text>
        <r>
          <rPr>
            <sz val="11"/>
            <color theme="1"/>
            <rFont val="Calibri"/>
            <family val="2"/>
            <scheme val="minor"/>
          </rPr>
          <t>Introduzca un número con dos decimales como máximo. Debe ser igual o mayor a la "Cantidad Real Consumida"</t>
        </r>
      </text>
    </comment>
    <comment ref="E1859" authorId="2">
      <text>
        <r>
          <rPr>
            <sz val="11"/>
            <color theme="1"/>
            <rFont val="Calibri"/>
            <family val="2"/>
            <scheme val="minor"/>
          </rPr>
          <t>Introduzca un número con dos decimales como máximo</t>
        </r>
      </text>
    </comment>
    <comment ref="F1859" authorId="2">
      <text>
        <r>
          <rPr>
            <sz val="11"/>
            <color theme="1"/>
            <rFont val="Calibri"/>
            <family val="2"/>
            <scheme val="minor"/>
          </rPr>
          <t>Monto calculado automáticamente por el sistema</t>
        </r>
      </text>
    </comment>
    <comment ref="A1864" authorId="2">
      <text>
        <r>
          <rPr>
            <sz val="11"/>
            <color theme="1"/>
            <rFont val="Calibri"/>
            <family val="2"/>
            <scheme val="minor"/>
          </rPr>
          <t>Introducir un texto con el nombre o referencia de la contratación</t>
        </r>
      </text>
    </comment>
    <comment ref="B1864" authorId="2">
      <text>
        <r>
          <rPr>
            <sz val="11"/>
            <color theme="1"/>
            <rFont val="Calibri"/>
            <family val="2"/>
            <scheme val="minor"/>
          </rPr>
          <t>Introduzca un texto con la finalidad de la contratación</t>
        </r>
      </text>
    </comment>
    <comment ref="C1864" authorId="2">
      <text>
        <r>
          <rPr>
            <sz val="11"/>
            <color theme="1"/>
            <rFont val="Calibri"/>
            <family val="2"/>
            <scheme val="minor"/>
          </rPr>
          <t>Seleccionar un valor del listado</t>
        </r>
      </text>
    </comment>
    <comment ref="D1864" authorId="1">
      <text>
        <r>
          <rPr>
            <sz val="11"/>
            <color theme="1"/>
            <rFont val="Calibri"/>
            <family val="2"/>
            <scheme val="minor"/>
          </rPr>
          <t>Seleccione el tipo de procedimiento</t>
        </r>
      </text>
    </comment>
    <comment ref="E1864" authorId="2">
      <text>
        <r>
          <rPr>
            <sz val="11"/>
            <color theme="1"/>
            <rFont val="Calibri"/>
            <family val="2"/>
            <scheme val="minor"/>
          </rPr>
          <t>Seleccione un valor de la lista</t>
        </r>
      </text>
    </comment>
    <comment ref="F1864" authorId="2">
      <text>
        <r>
          <rPr>
            <sz val="11"/>
            <color theme="1"/>
            <rFont val="Calibri"/>
            <family val="2"/>
            <scheme val="minor"/>
          </rPr>
          <t>Introduzca el código SNIP</t>
        </r>
      </text>
    </comment>
    <comment ref="C1865" authorId="2">
      <text>
        <r>
          <rPr>
            <sz val="11"/>
            <color theme="1"/>
            <rFont val="Calibri"/>
            <family val="2"/>
            <scheme val="minor"/>
          </rPr>
          <t>Introduzca la fecha de inicio del proceso, en formato dd-mm-aaaa</t>
        </r>
      </text>
    </comment>
    <comment ref="F1865"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66" authorId="2">
      <text/>
    </comment>
    <comment ref="C1867" authorId="2">
      <text>
        <r>
          <rPr>
            <sz val="11"/>
            <color theme="1"/>
            <rFont val="Calibri"/>
            <family val="2"/>
            <scheme val="minor"/>
          </rPr>
          <t>Introduzca la fecha prevista de adjudicación, en formato dd-mm-aaaa</t>
        </r>
      </text>
    </comment>
    <comment ref="F1867" authorId="2">
      <text/>
    </comment>
    <comment ref="F1868" authorId="2">
      <text/>
    </comment>
    <comment ref="A1870" authorId="2">
      <text>
        <r>
          <rPr>
            <sz val="11"/>
            <color theme="1"/>
            <rFont val="Calibri"/>
            <family val="2"/>
            <scheme val="minor"/>
          </rPr>
          <t>Introduzca un codigo UNSPSC</t>
        </r>
      </text>
    </comment>
    <comment ref="B1870" authorId="2">
      <text>
        <r>
          <rPr>
            <sz val="11"/>
            <color theme="1"/>
            <rFont val="Calibri"/>
            <family val="2"/>
            <scheme val="minor"/>
          </rPr>
          <t>Descripción calculada automáticamente a partir de código del artículo</t>
        </r>
      </text>
    </comment>
    <comment ref="C1870" authorId="2">
      <text>
        <r>
          <rPr>
            <sz val="11"/>
            <color theme="1"/>
            <rFont val="Calibri"/>
            <family val="2"/>
            <scheme val="minor"/>
          </rPr>
          <t>Seleccione un valor de la lista</t>
        </r>
      </text>
    </comment>
    <comment ref="D1870" authorId="2">
      <text>
        <r>
          <rPr>
            <sz val="11"/>
            <color theme="1"/>
            <rFont val="Calibri"/>
            <family val="2"/>
            <scheme val="minor"/>
          </rPr>
          <t>Introduzca un número con dos decimales como máximo. Debe ser igual o mayor a la "Cantidad Real Consumida"</t>
        </r>
      </text>
    </comment>
    <comment ref="E1870" authorId="2">
      <text>
        <r>
          <rPr>
            <sz val="11"/>
            <color theme="1"/>
            <rFont val="Calibri"/>
            <family val="2"/>
            <scheme val="minor"/>
          </rPr>
          <t>Introduzca un número con dos decimales como máximo</t>
        </r>
      </text>
    </comment>
    <comment ref="F1870" authorId="2">
      <text>
        <r>
          <rPr>
            <sz val="11"/>
            <color theme="1"/>
            <rFont val="Calibri"/>
            <family val="2"/>
            <scheme val="minor"/>
          </rPr>
          <t>Monto calculado automáticamente por el sistema</t>
        </r>
      </text>
    </comment>
    <comment ref="A1875" authorId="2">
      <text>
        <r>
          <rPr>
            <sz val="11"/>
            <color theme="1"/>
            <rFont val="Calibri"/>
            <family val="2"/>
            <scheme val="minor"/>
          </rPr>
          <t>Introducir un texto con el nombre o referencia de la contratación</t>
        </r>
      </text>
    </comment>
    <comment ref="B1875" authorId="2">
      <text>
        <r>
          <rPr>
            <sz val="11"/>
            <color theme="1"/>
            <rFont val="Calibri"/>
            <family val="2"/>
            <scheme val="minor"/>
          </rPr>
          <t>Introduzca un texto con la finalidad de la contratación</t>
        </r>
      </text>
    </comment>
    <comment ref="C1875" authorId="2">
      <text>
        <r>
          <rPr>
            <sz val="11"/>
            <color theme="1"/>
            <rFont val="Calibri"/>
            <family val="2"/>
            <scheme val="minor"/>
          </rPr>
          <t>Seleccionar un valor del listado</t>
        </r>
      </text>
    </comment>
    <comment ref="D1875" authorId="1">
      <text>
        <r>
          <rPr>
            <sz val="11"/>
            <color theme="1"/>
            <rFont val="Calibri"/>
            <family val="2"/>
            <scheme val="minor"/>
          </rPr>
          <t>Seleccione el tipo de procedimiento</t>
        </r>
      </text>
    </comment>
    <comment ref="E1875" authorId="2">
      <text>
        <r>
          <rPr>
            <sz val="11"/>
            <color theme="1"/>
            <rFont val="Calibri"/>
            <family val="2"/>
            <scheme val="minor"/>
          </rPr>
          <t>Seleccione un valor de la lista</t>
        </r>
      </text>
    </comment>
    <comment ref="F1875" authorId="2">
      <text>
        <r>
          <rPr>
            <sz val="11"/>
            <color theme="1"/>
            <rFont val="Calibri"/>
            <family val="2"/>
            <scheme val="minor"/>
          </rPr>
          <t>Introduzca el código SNIP</t>
        </r>
      </text>
    </comment>
    <comment ref="C1876" authorId="2">
      <text>
        <r>
          <rPr>
            <sz val="11"/>
            <color theme="1"/>
            <rFont val="Calibri"/>
            <family val="2"/>
            <scheme val="minor"/>
          </rPr>
          <t>Introduzca la fecha de inicio del proceso, en formato dd-mm-aaaa</t>
        </r>
      </text>
    </comment>
    <comment ref="F1876"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77" authorId="2">
      <text/>
    </comment>
    <comment ref="C1878" authorId="2">
      <text>
        <r>
          <rPr>
            <sz val="11"/>
            <color theme="1"/>
            <rFont val="Calibri"/>
            <family val="2"/>
            <scheme val="minor"/>
          </rPr>
          <t>Introduzca la fecha prevista de adjudicación, en formato dd-mm-aaaa</t>
        </r>
      </text>
    </comment>
    <comment ref="F1878" authorId="2">
      <text/>
    </comment>
    <comment ref="F1879" authorId="2">
      <text/>
    </comment>
    <comment ref="A1881" authorId="2">
      <text>
        <r>
          <rPr>
            <sz val="11"/>
            <color theme="1"/>
            <rFont val="Calibri"/>
            <family val="2"/>
            <scheme val="minor"/>
          </rPr>
          <t>Introduzca un codigo UNSPSC</t>
        </r>
      </text>
    </comment>
    <comment ref="B1881" authorId="2">
      <text>
        <r>
          <rPr>
            <sz val="11"/>
            <color theme="1"/>
            <rFont val="Calibri"/>
            <family val="2"/>
            <scheme val="minor"/>
          </rPr>
          <t>Descripción calculada automáticamente a partir de código del artículo</t>
        </r>
      </text>
    </comment>
    <comment ref="C1881" authorId="2">
      <text>
        <r>
          <rPr>
            <sz val="11"/>
            <color theme="1"/>
            <rFont val="Calibri"/>
            <family val="2"/>
            <scheme val="minor"/>
          </rPr>
          <t>Seleccione un valor de la lista</t>
        </r>
      </text>
    </comment>
    <comment ref="D1881" authorId="2">
      <text>
        <r>
          <rPr>
            <sz val="11"/>
            <color theme="1"/>
            <rFont val="Calibri"/>
            <family val="2"/>
            <scheme val="minor"/>
          </rPr>
          <t>Introduzca un número con dos decimales como máximo. Debe ser igual o mayor a la "Cantidad Real Consumida"</t>
        </r>
      </text>
    </comment>
    <comment ref="E1881" authorId="2">
      <text>
        <r>
          <rPr>
            <sz val="11"/>
            <color theme="1"/>
            <rFont val="Calibri"/>
            <family val="2"/>
            <scheme val="minor"/>
          </rPr>
          <t>Introduzca un número con dos decimales como máximo</t>
        </r>
      </text>
    </comment>
    <comment ref="F1881" authorId="2">
      <text>
        <r>
          <rPr>
            <sz val="11"/>
            <color theme="1"/>
            <rFont val="Calibri"/>
            <family val="2"/>
            <scheme val="minor"/>
          </rPr>
          <t>Monto calculado automáticamente por el sistema</t>
        </r>
      </text>
    </comment>
    <comment ref="A1886" authorId="2">
      <text>
        <r>
          <rPr>
            <sz val="11"/>
            <color theme="1"/>
            <rFont val="Calibri"/>
            <family val="2"/>
            <scheme val="minor"/>
          </rPr>
          <t>Introducir un texto con el nombre o referencia de la contratación</t>
        </r>
      </text>
    </comment>
    <comment ref="B1886" authorId="2">
      <text>
        <r>
          <rPr>
            <sz val="11"/>
            <color theme="1"/>
            <rFont val="Calibri"/>
            <family val="2"/>
            <scheme val="minor"/>
          </rPr>
          <t>Introduzca un texto con la finalidad de la contratación</t>
        </r>
      </text>
    </comment>
    <comment ref="C1886" authorId="2">
      <text>
        <r>
          <rPr>
            <sz val="11"/>
            <color theme="1"/>
            <rFont val="Calibri"/>
            <family val="2"/>
            <scheme val="minor"/>
          </rPr>
          <t>Seleccionar un valor del listado</t>
        </r>
      </text>
    </comment>
    <comment ref="D1886" authorId="1">
      <text>
        <r>
          <rPr>
            <sz val="11"/>
            <color theme="1"/>
            <rFont val="Calibri"/>
            <family val="2"/>
            <scheme val="minor"/>
          </rPr>
          <t>Seleccione el tipo de procedimiento</t>
        </r>
      </text>
    </comment>
    <comment ref="E1886" authorId="2">
      <text>
        <r>
          <rPr>
            <sz val="11"/>
            <color theme="1"/>
            <rFont val="Calibri"/>
            <family val="2"/>
            <scheme val="minor"/>
          </rPr>
          <t>Seleccione un valor de la lista</t>
        </r>
      </text>
    </comment>
    <comment ref="F1886" authorId="2">
      <text>
        <r>
          <rPr>
            <sz val="11"/>
            <color theme="1"/>
            <rFont val="Calibri"/>
            <family val="2"/>
            <scheme val="minor"/>
          </rPr>
          <t>Introduzca el código SNIP</t>
        </r>
      </text>
    </comment>
    <comment ref="C1887" authorId="2">
      <text>
        <r>
          <rPr>
            <sz val="11"/>
            <color theme="1"/>
            <rFont val="Calibri"/>
            <family val="2"/>
            <scheme val="minor"/>
          </rPr>
          <t>Introduzca la fecha de inicio del proceso, en formato dd-mm-aaaa</t>
        </r>
      </text>
    </comment>
    <comment ref="F188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8" authorId="2">
      <text/>
    </comment>
    <comment ref="C1889" authorId="2">
      <text>
        <r>
          <rPr>
            <sz val="11"/>
            <color theme="1"/>
            <rFont val="Calibri"/>
            <family val="2"/>
            <scheme val="minor"/>
          </rPr>
          <t>Introduzca la fecha prevista de adjudicación, en formato dd-mm-aaaa</t>
        </r>
      </text>
    </comment>
    <comment ref="F1889" authorId="2">
      <text/>
    </comment>
    <comment ref="F1890" authorId="2">
      <text/>
    </comment>
    <comment ref="A1892" authorId="2">
      <text>
        <r>
          <rPr>
            <sz val="11"/>
            <color theme="1"/>
            <rFont val="Calibri"/>
            <family val="2"/>
            <scheme val="minor"/>
          </rPr>
          <t>Introduzca un codigo UNSPSC</t>
        </r>
      </text>
    </comment>
    <comment ref="B1892" authorId="2">
      <text>
        <r>
          <rPr>
            <sz val="11"/>
            <color theme="1"/>
            <rFont val="Calibri"/>
            <family val="2"/>
            <scheme val="minor"/>
          </rPr>
          <t>Descripción calculada automáticamente a partir de código del artículo</t>
        </r>
      </text>
    </comment>
    <comment ref="C1892" authorId="2">
      <text>
        <r>
          <rPr>
            <sz val="11"/>
            <color theme="1"/>
            <rFont val="Calibri"/>
            <family val="2"/>
            <scheme val="minor"/>
          </rPr>
          <t>Seleccione un valor de la lista</t>
        </r>
      </text>
    </comment>
    <comment ref="D1892" authorId="2">
      <text>
        <r>
          <rPr>
            <sz val="11"/>
            <color theme="1"/>
            <rFont val="Calibri"/>
            <family val="2"/>
            <scheme val="minor"/>
          </rPr>
          <t>Introduzca un número con dos decimales como máximo. Debe ser igual o mayor a la "Cantidad Real Consumida"</t>
        </r>
      </text>
    </comment>
    <comment ref="E1892" authorId="2">
      <text>
        <r>
          <rPr>
            <sz val="11"/>
            <color theme="1"/>
            <rFont val="Calibri"/>
            <family val="2"/>
            <scheme val="minor"/>
          </rPr>
          <t>Introduzca un número con dos decimales como máximo</t>
        </r>
      </text>
    </comment>
    <comment ref="F1892" authorId="2">
      <text>
        <r>
          <rPr>
            <sz val="11"/>
            <color theme="1"/>
            <rFont val="Calibri"/>
            <family val="2"/>
            <scheme val="minor"/>
          </rPr>
          <t>Monto calculado automáticamente por el sistema</t>
        </r>
      </text>
    </comment>
    <comment ref="A1897" authorId="2">
      <text>
        <r>
          <rPr>
            <sz val="11"/>
            <color theme="1"/>
            <rFont val="Calibri"/>
            <family val="2"/>
            <scheme val="minor"/>
          </rPr>
          <t>Introducir un texto con el nombre o referencia de la contratación</t>
        </r>
      </text>
    </comment>
    <comment ref="B1897" authorId="2">
      <text>
        <r>
          <rPr>
            <sz val="11"/>
            <color theme="1"/>
            <rFont val="Calibri"/>
            <family val="2"/>
            <scheme val="minor"/>
          </rPr>
          <t>Introduzca un texto con la finalidad de la contratación</t>
        </r>
      </text>
    </comment>
    <comment ref="C1897" authorId="2">
      <text>
        <r>
          <rPr>
            <sz val="11"/>
            <color theme="1"/>
            <rFont val="Calibri"/>
            <family val="2"/>
            <scheme val="minor"/>
          </rPr>
          <t>Seleccionar un valor del listado</t>
        </r>
      </text>
    </comment>
    <comment ref="D1897" authorId="1">
      <text>
        <r>
          <rPr>
            <sz val="11"/>
            <color theme="1"/>
            <rFont val="Calibri"/>
            <family val="2"/>
            <scheme val="minor"/>
          </rPr>
          <t>Seleccione el tipo de procedimiento</t>
        </r>
      </text>
    </comment>
    <comment ref="E1897" authorId="2">
      <text>
        <r>
          <rPr>
            <sz val="11"/>
            <color theme="1"/>
            <rFont val="Calibri"/>
            <family val="2"/>
            <scheme val="minor"/>
          </rPr>
          <t>Seleccione un valor de la lista</t>
        </r>
      </text>
    </comment>
    <comment ref="F1897" authorId="2">
      <text>
        <r>
          <rPr>
            <sz val="11"/>
            <color theme="1"/>
            <rFont val="Calibri"/>
            <family val="2"/>
            <scheme val="minor"/>
          </rPr>
          <t>Introduzca el código SNIP</t>
        </r>
      </text>
    </comment>
    <comment ref="C1898" authorId="2">
      <text>
        <r>
          <rPr>
            <sz val="11"/>
            <color theme="1"/>
            <rFont val="Calibri"/>
            <family val="2"/>
            <scheme val="minor"/>
          </rPr>
          <t>Introduzca la fecha de inicio del proceso, en formato dd-mm-aaaa</t>
        </r>
      </text>
    </comment>
    <comment ref="F1898"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99" authorId="2">
      <text/>
    </comment>
    <comment ref="C1900" authorId="2">
      <text>
        <r>
          <rPr>
            <sz val="11"/>
            <color theme="1"/>
            <rFont val="Calibri"/>
            <family val="2"/>
            <scheme val="minor"/>
          </rPr>
          <t>Introduzca la fecha prevista de adjudicación, en formato dd-mm-aaaa</t>
        </r>
      </text>
    </comment>
    <comment ref="F1900" authorId="2">
      <text/>
    </comment>
    <comment ref="F1901" authorId="2">
      <text/>
    </comment>
    <comment ref="A1903" authorId="2">
      <text>
        <r>
          <rPr>
            <sz val="11"/>
            <color theme="1"/>
            <rFont val="Calibri"/>
            <family val="2"/>
            <scheme val="minor"/>
          </rPr>
          <t>Introduzca un codigo UNSPSC</t>
        </r>
      </text>
    </comment>
    <comment ref="B1903" authorId="2">
      <text>
        <r>
          <rPr>
            <sz val="11"/>
            <color theme="1"/>
            <rFont val="Calibri"/>
            <family val="2"/>
            <scheme val="minor"/>
          </rPr>
          <t>Descripción calculada automáticamente a partir de código del artículo</t>
        </r>
      </text>
    </comment>
    <comment ref="C1903" authorId="2">
      <text>
        <r>
          <rPr>
            <sz val="11"/>
            <color theme="1"/>
            <rFont val="Calibri"/>
            <family val="2"/>
            <scheme val="minor"/>
          </rPr>
          <t>Seleccione un valor de la lista</t>
        </r>
      </text>
    </comment>
    <comment ref="D1903" authorId="2">
      <text>
        <r>
          <rPr>
            <sz val="11"/>
            <color theme="1"/>
            <rFont val="Calibri"/>
            <family val="2"/>
            <scheme val="minor"/>
          </rPr>
          <t>Introduzca un número con dos decimales como máximo. Debe ser igual o mayor a la "Cantidad Real Consumida"</t>
        </r>
      </text>
    </comment>
    <comment ref="E1903" authorId="2">
      <text>
        <r>
          <rPr>
            <sz val="11"/>
            <color theme="1"/>
            <rFont val="Calibri"/>
            <family val="2"/>
            <scheme val="minor"/>
          </rPr>
          <t>Introduzca un número con dos decimales como máximo</t>
        </r>
      </text>
    </comment>
    <comment ref="F1903" authorId="2">
      <text>
        <r>
          <rPr>
            <sz val="11"/>
            <color theme="1"/>
            <rFont val="Calibri"/>
            <family val="2"/>
            <scheme val="minor"/>
          </rPr>
          <t>Monto calculado automáticamente por el sistema</t>
        </r>
      </text>
    </comment>
    <comment ref="A1908" authorId="2">
      <text>
        <r>
          <rPr>
            <sz val="11"/>
            <color theme="1"/>
            <rFont val="Calibri"/>
            <family val="2"/>
            <scheme val="minor"/>
          </rPr>
          <t>Introducir un texto con el nombre o referencia de la contratación</t>
        </r>
      </text>
    </comment>
    <comment ref="B1908" authorId="2">
      <text>
        <r>
          <rPr>
            <sz val="11"/>
            <color theme="1"/>
            <rFont val="Calibri"/>
            <family val="2"/>
            <scheme val="minor"/>
          </rPr>
          <t>Introduzca un texto con la finalidad de la contratación</t>
        </r>
      </text>
    </comment>
    <comment ref="C1908" authorId="2">
      <text>
        <r>
          <rPr>
            <sz val="11"/>
            <color theme="1"/>
            <rFont val="Calibri"/>
            <family val="2"/>
            <scheme val="minor"/>
          </rPr>
          <t>Seleccionar un valor del listado</t>
        </r>
      </text>
    </comment>
    <comment ref="D1908" authorId="1">
      <text>
        <r>
          <rPr>
            <sz val="11"/>
            <color theme="1"/>
            <rFont val="Calibri"/>
            <family val="2"/>
            <scheme val="minor"/>
          </rPr>
          <t>Seleccione el tipo de procedimiento</t>
        </r>
      </text>
    </comment>
    <comment ref="E1908" authorId="2">
      <text>
        <r>
          <rPr>
            <sz val="11"/>
            <color theme="1"/>
            <rFont val="Calibri"/>
            <family val="2"/>
            <scheme val="minor"/>
          </rPr>
          <t>Seleccione un valor de la lista</t>
        </r>
      </text>
    </comment>
    <comment ref="F1908" authorId="2">
      <text>
        <r>
          <rPr>
            <sz val="11"/>
            <color theme="1"/>
            <rFont val="Calibri"/>
            <family val="2"/>
            <scheme val="minor"/>
          </rPr>
          <t>Introduzca el código SNIP</t>
        </r>
      </text>
    </comment>
    <comment ref="C1909" authorId="2">
      <text>
        <r>
          <rPr>
            <sz val="11"/>
            <color theme="1"/>
            <rFont val="Calibri"/>
            <family val="2"/>
            <scheme val="minor"/>
          </rPr>
          <t>Introduzca la fecha de inicio del proceso, en formato dd-mm-aaaa</t>
        </r>
      </text>
    </comment>
    <comment ref="F1909"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10" authorId="2">
      <text/>
    </comment>
    <comment ref="C1911" authorId="2">
      <text>
        <r>
          <rPr>
            <sz val="11"/>
            <color theme="1"/>
            <rFont val="Calibri"/>
            <family val="2"/>
            <scheme val="minor"/>
          </rPr>
          <t>Introduzca la fecha prevista de adjudicación, en formato dd-mm-aaaa</t>
        </r>
      </text>
    </comment>
    <comment ref="F1911" authorId="2">
      <text/>
    </comment>
    <comment ref="F1912" authorId="2">
      <text/>
    </comment>
    <comment ref="A1914" authorId="2">
      <text>
        <r>
          <rPr>
            <sz val="11"/>
            <color theme="1"/>
            <rFont val="Calibri"/>
            <family val="2"/>
            <scheme val="minor"/>
          </rPr>
          <t>Introduzca un codigo UNSPSC</t>
        </r>
      </text>
    </comment>
    <comment ref="B1914" authorId="2">
      <text>
        <r>
          <rPr>
            <sz val="11"/>
            <color theme="1"/>
            <rFont val="Calibri"/>
            <family val="2"/>
            <scheme val="minor"/>
          </rPr>
          <t>Descripción calculada automáticamente a partir de código del artículo</t>
        </r>
      </text>
    </comment>
    <comment ref="C1914" authorId="2">
      <text>
        <r>
          <rPr>
            <sz val="11"/>
            <color theme="1"/>
            <rFont val="Calibri"/>
            <family val="2"/>
            <scheme val="minor"/>
          </rPr>
          <t>Seleccione un valor de la lista</t>
        </r>
      </text>
    </comment>
    <comment ref="D1914" authorId="2">
      <text>
        <r>
          <rPr>
            <sz val="11"/>
            <color theme="1"/>
            <rFont val="Calibri"/>
            <family val="2"/>
            <scheme val="minor"/>
          </rPr>
          <t>Introduzca un número con dos decimales como máximo. Debe ser igual o mayor a la "Cantidad Real Consumida"</t>
        </r>
      </text>
    </comment>
    <comment ref="E1914" authorId="2">
      <text>
        <r>
          <rPr>
            <sz val="11"/>
            <color theme="1"/>
            <rFont val="Calibri"/>
            <family val="2"/>
            <scheme val="minor"/>
          </rPr>
          <t>Introduzca un número con dos decimales como máximo</t>
        </r>
      </text>
    </comment>
    <comment ref="F1914" authorId="2">
      <text>
        <r>
          <rPr>
            <sz val="11"/>
            <color theme="1"/>
            <rFont val="Calibri"/>
            <family val="2"/>
            <scheme val="minor"/>
          </rPr>
          <t>Monto calculado automáticamente por el sistema</t>
        </r>
      </text>
    </comment>
    <comment ref="A1919" authorId="2">
      <text>
        <r>
          <rPr>
            <sz val="11"/>
            <color theme="1"/>
            <rFont val="Calibri"/>
            <family val="2"/>
            <scheme val="minor"/>
          </rPr>
          <t>Introducir un texto con el nombre o referencia de la contratación</t>
        </r>
      </text>
    </comment>
    <comment ref="B1919" authorId="2">
      <text>
        <r>
          <rPr>
            <sz val="11"/>
            <color theme="1"/>
            <rFont val="Calibri"/>
            <family val="2"/>
            <scheme val="minor"/>
          </rPr>
          <t>Introduzca un texto con la finalidad de la contratación</t>
        </r>
      </text>
    </comment>
    <comment ref="C1919" authorId="2">
      <text>
        <r>
          <rPr>
            <sz val="11"/>
            <color theme="1"/>
            <rFont val="Calibri"/>
            <family val="2"/>
            <scheme val="minor"/>
          </rPr>
          <t>Seleccionar un valor del listado</t>
        </r>
      </text>
    </comment>
    <comment ref="D1919" authorId="1">
      <text>
        <r>
          <rPr>
            <sz val="11"/>
            <color theme="1"/>
            <rFont val="Calibri"/>
            <family val="2"/>
            <scheme val="minor"/>
          </rPr>
          <t>Seleccione el tipo de procedimiento</t>
        </r>
      </text>
    </comment>
    <comment ref="E1919" authorId="2">
      <text>
        <r>
          <rPr>
            <sz val="11"/>
            <color theme="1"/>
            <rFont val="Calibri"/>
            <family val="2"/>
            <scheme val="minor"/>
          </rPr>
          <t>Seleccione un valor de la lista</t>
        </r>
      </text>
    </comment>
    <comment ref="F1919" authorId="2">
      <text>
        <r>
          <rPr>
            <sz val="11"/>
            <color theme="1"/>
            <rFont val="Calibri"/>
            <family val="2"/>
            <scheme val="minor"/>
          </rPr>
          <t>Introduzca el código SNIP</t>
        </r>
      </text>
    </comment>
    <comment ref="C1920" authorId="2">
      <text>
        <r>
          <rPr>
            <sz val="11"/>
            <color theme="1"/>
            <rFont val="Calibri"/>
            <family val="2"/>
            <scheme val="minor"/>
          </rPr>
          <t>Introduzca la fecha de inicio del proceso, en formato dd-mm-aaaa</t>
        </r>
      </text>
    </comment>
    <comment ref="F1920"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21" authorId="2">
      <text/>
    </comment>
    <comment ref="C1922" authorId="2">
      <text>
        <r>
          <rPr>
            <sz val="11"/>
            <color theme="1"/>
            <rFont val="Calibri"/>
            <family val="2"/>
            <scheme val="minor"/>
          </rPr>
          <t>Introduzca la fecha prevista de adjudicación, en formato dd-mm-aaaa</t>
        </r>
      </text>
    </comment>
    <comment ref="F1922" authorId="2">
      <text/>
    </comment>
    <comment ref="F1923" authorId="2">
      <text/>
    </comment>
    <comment ref="A1925" authorId="2">
      <text>
        <r>
          <rPr>
            <sz val="11"/>
            <color theme="1"/>
            <rFont val="Calibri"/>
            <family val="2"/>
            <scheme val="minor"/>
          </rPr>
          <t>Introduzca un codigo UNSPSC</t>
        </r>
      </text>
    </comment>
    <comment ref="B1925" authorId="2">
      <text>
        <r>
          <rPr>
            <sz val="11"/>
            <color theme="1"/>
            <rFont val="Calibri"/>
            <family val="2"/>
            <scheme val="minor"/>
          </rPr>
          <t>Descripción calculada automáticamente a partir de código del artículo</t>
        </r>
      </text>
    </comment>
    <comment ref="C1925" authorId="2">
      <text>
        <r>
          <rPr>
            <sz val="11"/>
            <color theme="1"/>
            <rFont val="Calibri"/>
            <family val="2"/>
            <scheme val="minor"/>
          </rPr>
          <t>Seleccione un valor de la lista</t>
        </r>
      </text>
    </comment>
    <comment ref="D1925" authorId="2">
      <text>
        <r>
          <rPr>
            <sz val="11"/>
            <color theme="1"/>
            <rFont val="Calibri"/>
            <family val="2"/>
            <scheme val="minor"/>
          </rPr>
          <t>Introduzca un número con dos decimales como máximo. Debe ser igual o mayor a la "Cantidad Real Consumida"</t>
        </r>
      </text>
    </comment>
    <comment ref="E1925" authorId="2">
      <text>
        <r>
          <rPr>
            <sz val="11"/>
            <color theme="1"/>
            <rFont val="Calibri"/>
            <family val="2"/>
            <scheme val="minor"/>
          </rPr>
          <t>Introduzca un número con dos decimales como máximo</t>
        </r>
      </text>
    </comment>
    <comment ref="F1925" authorId="2">
      <text>
        <r>
          <rPr>
            <sz val="11"/>
            <color theme="1"/>
            <rFont val="Calibri"/>
            <family val="2"/>
            <scheme val="minor"/>
          </rPr>
          <t>Monto calculado automáticamente por el sistema</t>
        </r>
      </text>
    </comment>
    <comment ref="A1930" authorId="2">
      <text>
        <r>
          <rPr>
            <sz val="11"/>
            <color theme="1"/>
            <rFont val="Calibri"/>
            <family val="2"/>
            <scheme val="minor"/>
          </rPr>
          <t>Introducir un texto con el nombre o referencia de la contratación</t>
        </r>
      </text>
    </comment>
    <comment ref="B1930" authorId="2">
      <text>
        <r>
          <rPr>
            <sz val="11"/>
            <color theme="1"/>
            <rFont val="Calibri"/>
            <family val="2"/>
            <scheme val="minor"/>
          </rPr>
          <t>Introduzca un texto con la finalidad de la contratación</t>
        </r>
      </text>
    </comment>
    <comment ref="C1930" authorId="2">
      <text>
        <r>
          <rPr>
            <sz val="11"/>
            <color theme="1"/>
            <rFont val="Calibri"/>
            <family val="2"/>
            <scheme val="minor"/>
          </rPr>
          <t>Seleccionar un valor del listado</t>
        </r>
      </text>
    </comment>
    <comment ref="D1930" authorId="1">
      <text>
        <r>
          <rPr>
            <sz val="11"/>
            <color theme="1"/>
            <rFont val="Calibri"/>
            <family val="2"/>
            <scheme val="minor"/>
          </rPr>
          <t>Seleccione el tipo de procedimiento</t>
        </r>
      </text>
    </comment>
    <comment ref="E1930" authorId="2">
      <text>
        <r>
          <rPr>
            <sz val="11"/>
            <color theme="1"/>
            <rFont val="Calibri"/>
            <family val="2"/>
            <scheme val="minor"/>
          </rPr>
          <t>Seleccione un valor de la lista</t>
        </r>
      </text>
    </comment>
    <comment ref="F1930" authorId="2">
      <text>
        <r>
          <rPr>
            <sz val="11"/>
            <color theme="1"/>
            <rFont val="Calibri"/>
            <family val="2"/>
            <scheme val="minor"/>
          </rPr>
          <t>Introduzca el código SNIP</t>
        </r>
      </text>
    </comment>
    <comment ref="C1931" authorId="2">
      <text>
        <r>
          <rPr>
            <sz val="11"/>
            <color theme="1"/>
            <rFont val="Calibri"/>
            <family val="2"/>
            <scheme val="minor"/>
          </rPr>
          <t>Introduzca la fecha de inicio del proceso, en formato dd-mm-aaaa</t>
        </r>
      </text>
    </comment>
    <comment ref="F193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32" authorId="2">
      <text/>
    </comment>
    <comment ref="C1933" authorId="2">
      <text>
        <r>
          <rPr>
            <sz val="11"/>
            <color theme="1"/>
            <rFont val="Calibri"/>
            <family val="2"/>
            <scheme val="minor"/>
          </rPr>
          <t>Introduzca la fecha prevista de adjudicación, en formato dd-mm-aaaa</t>
        </r>
      </text>
    </comment>
    <comment ref="F1933" authorId="2">
      <text/>
    </comment>
    <comment ref="F1934" authorId="2">
      <text/>
    </comment>
    <comment ref="A1936" authorId="2">
      <text>
        <r>
          <rPr>
            <sz val="11"/>
            <color theme="1"/>
            <rFont val="Calibri"/>
            <family val="2"/>
            <scheme val="minor"/>
          </rPr>
          <t>Introduzca un codigo UNSPSC</t>
        </r>
      </text>
    </comment>
    <comment ref="B1936" authorId="2">
      <text>
        <r>
          <rPr>
            <sz val="11"/>
            <color theme="1"/>
            <rFont val="Calibri"/>
            <family val="2"/>
            <scheme val="minor"/>
          </rPr>
          <t>Descripción calculada automáticamente a partir de código del artículo</t>
        </r>
      </text>
    </comment>
    <comment ref="C1936" authorId="2">
      <text>
        <r>
          <rPr>
            <sz val="11"/>
            <color theme="1"/>
            <rFont val="Calibri"/>
            <family val="2"/>
            <scheme val="minor"/>
          </rPr>
          <t>Seleccione un valor de la lista</t>
        </r>
      </text>
    </comment>
    <comment ref="D1936" authorId="2">
      <text>
        <r>
          <rPr>
            <sz val="11"/>
            <color theme="1"/>
            <rFont val="Calibri"/>
            <family val="2"/>
            <scheme val="minor"/>
          </rPr>
          <t>Introduzca un número con dos decimales como máximo. Debe ser igual o mayor a la "Cantidad Real Consumida"</t>
        </r>
      </text>
    </comment>
    <comment ref="E1936" authorId="2">
      <text>
        <r>
          <rPr>
            <sz val="11"/>
            <color theme="1"/>
            <rFont val="Calibri"/>
            <family val="2"/>
            <scheme val="minor"/>
          </rPr>
          <t>Introduzca un número con dos decimales como máximo</t>
        </r>
      </text>
    </comment>
    <comment ref="F1936" authorId="2">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<sst xmlns="http://schemas.openxmlformats.org/spreadsheetml/2006/main" count="4730" uniqueCount="337">
  <si>
    <t>NOMBRE O REFERENCIA DE CONTRATACIÓN</t>
  </si>
  <si>
    <t>FINALIDAD DE LA CONTRATACIÓN</t>
  </si>
  <si>
    <t>OBJETO DE CONTRATACIÓN</t>
  </si>
  <si>
    <t>PROCEDIMIENTO DE SELECCIÓN</t>
  </si>
  <si>
    <t>DESTINADO A MIPYMES</t>
  </si>
  <si>
    <t>CÓDIGO SNIP</t>
  </si>
  <si>
    <t>Servicio de Publicidad</t>
  </si>
  <si>
    <t>Publicidad ONE programa Hoy Mismo</t>
  </si>
  <si>
    <t>Servicios</t>
  </si>
  <si>
    <t>Excepción - Contratación de publicidad a través de medios de comunicación social</t>
  </si>
  <si>
    <t>Si</t>
  </si>
  <si>
    <t>FECHA DE NECESSIDAD</t>
  </si>
  <si>
    <t>FECHA INICIO PROCESO DE COMPRA</t>
  </si>
  <si>
    <t>LUGAR DE EJECUCIÓN / ENTREGA</t>
  </si>
  <si>
    <t>Región</t>
  </si>
  <si>
    <t>TRIMESTRE</t>
  </si>
  <si>
    <t>Provincia</t>
  </si>
  <si>
    <t>FECHA PREVISTA ADJUDICACIÓN</t>
  </si>
  <si>
    <t>Municipio</t>
  </si>
  <si>
    <t>Distrito Municipal</t>
  </si>
  <si>
    <t xml:space="preserve">PLAN ANUAL DE COMPRAS Y CONTRATACIONES 
</t>
  </si>
  <si>
    <t>SNCC.F.069</t>
  </si>
  <si>
    <t xml:space="preserve">Capítulo </t>
  </si>
  <si>
    <t>0220</t>
  </si>
  <si>
    <t>Version: 1.0.0</t>
  </si>
  <si>
    <t>Sub Capítulo</t>
  </si>
  <si>
    <t>01</t>
  </si>
  <si>
    <t>Unidad Ejecutora</t>
  </si>
  <si>
    <t>0009</t>
  </si>
  <si>
    <t>Cantidad Procesos Registrados</t>
  </si>
  <si>
    <t xml:space="preserve">Unidad de Compra </t>
  </si>
  <si>
    <t>Oficina Nacional de Estadísticas</t>
  </si>
  <si>
    <t>Monto Estimado Total</t>
  </si>
  <si>
    <t>Código de la Unidad de Compra</t>
  </si>
  <si>
    <t>000218</t>
  </si>
  <si>
    <t xml:space="preserve">Año Fiscal </t>
  </si>
  <si>
    <t>Fecha Aprobación</t>
  </si>
  <si>
    <t/>
  </si>
  <si>
    <t>combustible</t>
  </si>
  <si>
    <t>Para uso de la institucion</t>
  </si>
  <si>
    <t>Bienes</t>
  </si>
  <si>
    <t>Excepción - Resolución 15-08 sobre compra y contratación de pasaje aéreo, combustible y reparación de vehículos de motor</t>
  </si>
  <si>
    <t>No</t>
  </si>
  <si>
    <t>CÓDIGO CATÁLOGO</t>
  </si>
  <si>
    <t>ARTÍCULO</t>
  </si>
  <si>
    <t>UNIDAD DE MEDIDA</t>
  </si>
  <si>
    <t>CANTIDAD TOTAL ESTIMADA</t>
  </si>
  <si>
    <t>PRECIO UNITARIO ESTIMADO</t>
  </si>
  <si>
    <t>MONTO TOTAL ESTIMADO</t>
  </si>
  <si>
    <t>15101506</t>
  </si>
  <si>
    <t>TOTAL COMPRA ESTIMADA</t>
  </si>
  <si>
    <t>MATERIAL GASTABLE</t>
  </si>
  <si>
    <t>PARA SER UTILIZADOS POR LAS DIFERENTES AREAS</t>
  </si>
  <si>
    <t>Compras Menores</t>
  </si>
  <si>
    <t>14111507</t>
  </si>
  <si>
    <t xml:space="preserve">Combustible </t>
  </si>
  <si>
    <t xml:space="preserve">Para uso de la institución </t>
  </si>
  <si>
    <t xml:space="preserve">Para uso de la institucion </t>
  </si>
  <si>
    <t>Combustible</t>
  </si>
  <si>
    <t>Uso interno</t>
  </si>
  <si>
    <t>ARTÍCULOS DE LIMPIEZA</t>
  </si>
  <si>
    <t>PARA USO DELA INSTITUCION.</t>
  </si>
  <si>
    <t>Compras por debajo del Umbral</t>
  </si>
  <si>
    <t>Sí</t>
  </si>
  <si>
    <t>47131604</t>
  </si>
  <si>
    <t>12141901</t>
  </si>
  <si>
    <t>53131608</t>
  </si>
  <si>
    <t>47131706</t>
  </si>
  <si>
    <t>Para uso de la institución</t>
  </si>
  <si>
    <t>Para uso interno de la institución</t>
  </si>
  <si>
    <t>Para uso de esta institución</t>
  </si>
  <si>
    <t xml:space="preserve">Para uso interno </t>
  </si>
  <si>
    <t xml:space="preserve">Ferretería y Pintura </t>
  </si>
  <si>
    <t>Pinturas para uso de la institución</t>
  </si>
  <si>
    <t>31211508</t>
  </si>
  <si>
    <t>Servicios de Catering</t>
  </si>
  <si>
    <t xml:space="preserve">Para uso de Recursos Humanos </t>
  </si>
  <si>
    <t>90101603</t>
  </si>
  <si>
    <t>SERVICIO DE AUDITORIA</t>
  </si>
  <si>
    <t>15 AUDITORES INTERNOS CERTIFICADOS</t>
  </si>
  <si>
    <t>Comparacion de Precios</t>
  </si>
  <si>
    <t>84111603</t>
  </si>
  <si>
    <t xml:space="preserve">Almuerzo para Reunión </t>
  </si>
  <si>
    <t>Actualizacion y Mantenimiento de equipos (UPS, A/A, etc.)</t>
  </si>
  <si>
    <t xml:space="preserve">Actualizacion y Mantenimiento de equipos (UPS, A/A, etc.)
</t>
  </si>
  <si>
    <t>81112202</t>
  </si>
  <si>
    <t>RENOVACION DE LICENCIAS</t>
  </si>
  <si>
    <t xml:space="preserve">Renovación de la suscripción McAfee Complete EndPoint Protection – Business ProtectPLUS 1 yr, Gold Software Support, por un año.
</t>
  </si>
  <si>
    <t>Licitacion Publica</t>
  </si>
  <si>
    <t>43231512</t>
  </si>
  <si>
    <t xml:space="preserve">Renovación de Firewall
</t>
  </si>
  <si>
    <t>RENOVACION SERVICIOS DNS BACKUP-DYN</t>
  </si>
  <si>
    <t xml:space="preserve">RENOVACION SERVICIOS DNS BACKUP-DYN
</t>
  </si>
  <si>
    <t>INSUMO PARA LA ONE</t>
  </si>
  <si>
    <t>51142610</t>
  </si>
  <si>
    <t>50161509</t>
  </si>
  <si>
    <t>14111526</t>
  </si>
  <si>
    <t>44122003</t>
  </si>
  <si>
    <t>14111530</t>
  </si>
  <si>
    <t>44101707</t>
  </si>
  <si>
    <t>60121526</t>
  </si>
  <si>
    <t>44121627</t>
  </si>
  <si>
    <t>43201808</t>
  </si>
  <si>
    <t>44121716</t>
  </si>
  <si>
    <t>44122011</t>
  </si>
  <si>
    <t>44121503</t>
  </si>
  <si>
    <t>ARTICULOS DE COCINA</t>
  </si>
  <si>
    <t>ARTICULOS DE COCINA PARA USO DE LA INSTITUCION.</t>
  </si>
  <si>
    <t>52141502</t>
  </si>
  <si>
    <t>Mantenimiento de Aires Acondicionados</t>
  </si>
  <si>
    <t xml:space="preserve">Mantenimiento de Aires Acondicionados
</t>
  </si>
  <si>
    <t>40101701</t>
  </si>
  <si>
    <t>Mantenimiento de Fotocopiadoras</t>
  </si>
  <si>
    <t xml:space="preserve">Mantenimiento de Fotocopiadoras
</t>
  </si>
  <si>
    <t>44101501</t>
  </si>
  <si>
    <t>Mantenimiento de Planta Eléctrica</t>
  </si>
  <si>
    <t xml:space="preserve">Mantenimiento de Planta Eléctrica
</t>
  </si>
  <si>
    <t>83101804</t>
  </si>
  <si>
    <t>SERVICIO DE PLOMERIA</t>
  </si>
  <si>
    <t>76101502</t>
  </si>
  <si>
    <t>ARTICULOS FERRETEROS</t>
  </si>
  <si>
    <t>39101701</t>
  </si>
  <si>
    <t>31211502</t>
  </si>
  <si>
    <t>MOBILIARIO DE OFICINA</t>
  </si>
  <si>
    <t>56101703</t>
  </si>
  <si>
    <t>Gasoil para la planta eléctrica</t>
  </si>
  <si>
    <t xml:space="preserve">Gasoil para la planta eléctrica
</t>
  </si>
  <si>
    <t>15101505</t>
  </si>
  <si>
    <t>AQUISICION DE COMBUSTIBLE</t>
  </si>
  <si>
    <t>ADQUISICIÓN DE COMBUSTIBLE PARA USO DE LA INSTITUCIÓN.</t>
  </si>
  <si>
    <t>Suscripción de periódicos/publicaciones</t>
  </si>
  <si>
    <t xml:space="preserve">Suscripción de periódicos/publicaciones
</t>
  </si>
  <si>
    <t>82101504</t>
  </si>
  <si>
    <t>ADQUISICION DE IMPRESORAS</t>
  </si>
  <si>
    <t>ADQUISICION DE IMPRESORA</t>
  </si>
  <si>
    <t>43212110</t>
  </si>
  <si>
    <t>ADQUISICION DE SELLOS PRE-TINTADO</t>
  </si>
  <si>
    <t>ADQUISICION DE SELLOS PRE-TINTADO PARA DIFERENTES AREAS.</t>
  </si>
  <si>
    <t>44121510</t>
  </si>
  <si>
    <t>Renovacion de licencias informaticas</t>
  </si>
  <si>
    <t xml:space="preserve">Renovacion de Firewall
</t>
  </si>
  <si>
    <t>Adquisicion de equipos informaticos</t>
  </si>
  <si>
    <t xml:space="preserve">Compra de un servidor.
</t>
  </si>
  <si>
    <t>43211501</t>
  </si>
  <si>
    <t>Adquisicion de la Normas ISO 9001:2015 y norma ISO 19011:2011.</t>
  </si>
  <si>
    <t xml:space="preserve">Normas ISO 9001:2015 y norma ISO 19011:2011 adquiridas 
</t>
  </si>
  <si>
    <t>49101705</t>
  </si>
  <si>
    <t>Adquisicion de Toner para diferentes areas de la One.</t>
  </si>
  <si>
    <t>44103103</t>
  </si>
  <si>
    <t>adquisicion de gasolina</t>
  </si>
  <si>
    <t xml:space="preserve">Tickets prepagados de gasolina
</t>
  </si>
  <si>
    <t xml:space="preserve">Tickets prepagados de gasolina.
</t>
  </si>
  <si>
    <t>Servicio de catering</t>
  </si>
  <si>
    <t xml:space="preserve">Servicio de catering
</t>
  </si>
  <si>
    <t>50192701</t>
  </si>
  <si>
    <t>adquisicion de toner</t>
  </si>
  <si>
    <t xml:space="preserve">Toner HP Laser jet 42A Q5942A
</t>
  </si>
  <si>
    <t xml:space="preserve">Adquisicion de Toner </t>
  </si>
  <si>
    <t>Adquisicion de material gastable para colocar puntos de red.</t>
  </si>
  <si>
    <t xml:space="preserve">Material Gastable para colocar puntos de Red: 1 funda de RJ-45, 40 mini jack, 20 patch cord de 7 pies, 20 face plate, 20 tornillos de 4 pulgadas.
</t>
  </si>
  <si>
    <t>26121607</t>
  </si>
  <si>
    <t>Insumos para Impresora - Fotocopiadora de Documentos y Material de Apoyo</t>
  </si>
  <si>
    <t xml:space="preserve">Insumos para Impresora - Fotocopiadora de Documentos y Material de Apoyo
</t>
  </si>
  <si>
    <t>44103116</t>
  </si>
  <si>
    <t>Alquiler de audiovisuales.</t>
  </si>
  <si>
    <t xml:space="preserve">Alquiler de audiovisiyales: 2 pantallas 9x12, audio grabacion(2), 4 microfonos inalambricos, sistema de sonido.
</t>
  </si>
  <si>
    <t>45111609</t>
  </si>
  <si>
    <t>Consultoría para el segumiento a la implementación de ISO27000.</t>
  </si>
  <si>
    <t xml:space="preserve">Consultoría para el segumiento a la implementación de ISO27000.
</t>
  </si>
  <si>
    <t>Servicios: Consultorías</t>
  </si>
  <si>
    <t>86101808</t>
  </si>
  <si>
    <t>Consultoría  implementación ISO20000</t>
  </si>
  <si>
    <t xml:space="preserve">Consultoría  implementación ISO20000
</t>
  </si>
  <si>
    <t>capacitacion en Creación de bases de datos y desarrollo de aplicaciones web para la diseminaciónde información</t>
  </si>
  <si>
    <t xml:space="preserve">capacitacion en Creación de bases de datos y desarrollo de aplicaciones web para la diseminaciónde información
</t>
  </si>
  <si>
    <t>Servicio de consultoria</t>
  </si>
  <si>
    <t xml:space="preserve">Servicio de consultoria
</t>
  </si>
  <si>
    <t xml:space="preserve">Compras de Boleto aereo </t>
  </si>
  <si>
    <t xml:space="preserve">Boleto aereo de ida y vuelta, panama-santiago de chile.
</t>
  </si>
  <si>
    <t>90121502</t>
  </si>
  <si>
    <t>Boleto aereo de ida y vuelta internacional.</t>
  </si>
  <si>
    <t xml:space="preserve">Boleto aereo de ida y vuelta internacional.
</t>
  </si>
  <si>
    <t>Boleto aereo de ida y vuelta, Montreal, Canada.</t>
  </si>
  <si>
    <t xml:space="preserve">Boleto aereo de ida y vuelta, Montreal, Canada.
</t>
  </si>
  <si>
    <t>Boleto aereo ida y vuelta</t>
  </si>
  <si>
    <t xml:space="preserve">Boleto aereo ida y vuelta
</t>
  </si>
  <si>
    <t>Tckets prepagado de gasoil de 1000</t>
  </si>
  <si>
    <t xml:space="preserve">Tckets prepagado de gasoil de 1000
</t>
  </si>
  <si>
    <t>Alquiler de salon en hotel, para 200 personas.</t>
  </si>
  <si>
    <t xml:space="preserve">Alquiler de salon en hotel, para 200 personas.
</t>
  </si>
  <si>
    <t>30222507</t>
  </si>
  <si>
    <t>Servicio de impresion y encuadernacion</t>
  </si>
  <si>
    <t xml:space="preserve">Impresión y encuadernacion en papel 81/2 x 11 
</t>
  </si>
  <si>
    <t>Material Gastable</t>
  </si>
  <si>
    <t xml:space="preserve">Material Gastable
</t>
  </si>
  <si>
    <t>14111511</t>
  </si>
  <si>
    <t>Recarga y mantenimiento de extintores</t>
  </si>
  <si>
    <t xml:space="preserve">Recarga y mantenimiento de extintores
</t>
  </si>
  <si>
    <t>46191601</t>
  </si>
  <si>
    <t>Servicio de fumigacion</t>
  </si>
  <si>
    <t>72102103</t>
  </si>
  <si>
    <t>CILINDRO Y FUSOR PARA IMPRESORA XEROX WC5330 PARA IMPRESORA DE FINANCIERO</t>
  </si>
  <si>
    <t xml:space="preserve">CILINDRO Y FUSOR PARA IMPRESORA XEROX WC5330 PARA IMPRESORA DE FINANCIERO
</t>
  </si>
  <si>
    <t>44103004</t>
  </si>
  <si>
    <t>Reparación de Microondas</t>
  </si>
  <si>
    <t xml:space="preserve">Reparación de Microondas
</t>
  </si>
  <si>
    <t>26111601</t>
  </si>
  <si>
    <t>52141510</t>
  </si>
  <si>
    <t>REPARACION DE VEHICULOS</t>
  </si>
  <si>
    <t>REPARACION DE VEHICULOS
DE LA INSTITUCION</t>
  </si>
  <si>
    <t>25101501</t>
  </si>
  <si>
    <t>Renovación de Soporte Técnico anual en piezas y servicios de la Central Telefónica IP BITEC PBX NO. SERIAL C51200B13M00283, C51200B13M00427.</t>
  </si>
  <si>
    <t xml:space="preserve">Renovación de Soporte Técnico anual en piezas y servicios de la Central Telefónica IP BITEC PBX NO. SERIAL C51200B13M00283, C51200B13M00427.
</t>
  </si>
  <si>
    <t>43221504</t>
  </si>
  <si>
    <t>Renovación soporte Symantec netbackup, por un año.</t>
  </si>
  <si>
    <t xml:space="preserve">Renovación soporte Symantec netbackup, por un año.
</t>
  </si>
  <si>
    <t>43233415</t>
  </si>
  <si>
    <t>Renovación de Firewall</t>
  </si>
  <si>
    <t>RENOVACION DE LIVE SECURITY PARA ACCESS POINT</t>
  </si>
  <si>
    <t xml:space="preserve">RENOVACION DE LIVE SECURITY PARA ACCESS POINT
</t>
  </si>
  <si>
    <t>RENOVACION DE SISTEMAS.</t>
  </si>
  <si>
    <t xml:space="preserve">RENOVACION BASIC SUPPORT/SUBSCRIPTION FOR VMWEAE VSPHERE STANDARD ACCELERATION KIT FOR 8 PROCESSORS
</t>
  </si>
  <si>
    <t>RENOVACION SERVICIOS DE NOMBRE DE DOMINIO - DNS</t>
  </si>
  <si>
    <t xml:space="preserve">RENOVACION SERVICIOS DE NOMBRE DE DOMINIO - DNS
</t>
  </si>
  <si>
    <t>Renovación del certificado uc ssl para Microsoft Exchange server.</t>
  </si>
  <si>
    <t xml:space="preserve">Renovación del certificado uc ssl para Microsoft Exchange server.
</t>
  </si>
  <si>
    <t>RENOVACION CERTIFICADO SSL PARA PORTAL PARA WEB</t>
  </si>
  <si>
    <t xml:space="preserve">RENOVACION CERTIFICADO SSL PARA PORTAL PARA WEB
</t>
  </si>
  <si>
    <t>Renovacion VMWare vSphere 6 Standard 2 CPU(s)</t>
  </si>
  <si>
    <t xml:space="preserve">Renovacion VMWare vSphere 6 Standard 2 CPU(s)
</t>
  </si>
  <si>
    <t>Adquisicion de insumos para la one.</t>
  </si>
  <si>
    <t xml:space="preserve">Azúcar  morena 5 libras
</t>
  </si>
  <si>
    <t>Botellones de agua</t>
  </si>
  <si>
    <t xml:space="preserve">Botellones de agua
</t>
  </si>
  <si>
    <t>50202301</t>
  </si>
  <si>
    <t xml:space="preserve">Papel higiénico </t>
  </si>
  <si>
    <t xml:space="preserve">Papel higiénico jumbo de baño para dispensadores de 1000 pies 12/1
</t>
  </si>
  <si>
    <t>47131701</t>
  </si>
  <si>
    <t>Aduisicion de material gastable</t>
  </si>
  <si>
    <t xml:space="preserve">Papel bond 8 1/2 x 14" pulgadas
</t>
  </si>
  <si>
    <t>Adquisicion de material gastables</t>
  </si>
  <si>
    <t>para ser usados en la institucion.</t>
  </si>
  <si>
    <t>44101602</t>
  </si>
  <si>
    <t>43232503</t>
  </si>
  <si>
    <t>Adquisicion de toner y cartuchos</t>
  </si>
  <si>
    <t>44103105</t>
  </si>
  <si>
    <t>Adquisicion productos de limpieza.</t>
  </si>
  <si>
    <t xml:space="preserve">
Adquisicion productos de limpieza.
</t>
  </si>
  <si>
    <t>47131803</t>
  </si>
  <si>
    <t>52121605</t>
  </si>
  <si>
    <t>COMBUSTIBLE</t>
  </si>
  <si>
    <t>Para uso de la Institucion</t>
  </si>
  <si>
    <t>Unidad</t>
  </si>
  <si>
    <t>Ticket de combustible Para uso de la Institucion</t>
  </si>
  <si>
    <t>Minubus</t>
  </si>
  <si>
    <t>Computadores</t>
  </si>
  <si>
    <t>Estaciones Alto Rendimiento para uso de la Institucion</t>
  </si>
  <si>
    <t>Estaciones de Trabajo Estándar</t>
  </si>
  <si>
    <t>Servidores de Computador</t>
  </si>
  <si>
    <t>Servicios de Centro de Datos</t>
  </si>
  <si>
    <t>Servicio de transporte Aereo</t>
  </si>
  <si>
    <t>Pasaje Aereo para Consultor</t>
  </si>
  <si>
    <t>Adquisicion de Mobiliario</t>
  </si>
  <si>
    <t>Mobiliario para Despacho Direccion Nacional</t>
  </si>
  <si>
    <t>Remozamiento Despacho</t>
  </si>
  <si>
    <t>Remozamiento Despacho Direccion Nacional</t>
  </si>
  <si>
    <t>Impresión</t>
  </si>
  <si>
    <t>Impresión Cuestionarios para Encuesta</t>
  </si>
  <si>
    <t>Impresión cuestionarios y manuales para encuestas</t>
  </si>
  <si>
    <t>Bonos de Compra navideños</t>
  </si>
  <si>
    <t>Bonos para los empleados de la institucion</t>
  </si>
  <si>
    <t>Fiesta de Navidad</t>
  </si>
  <si>
    <t>Fiesta de Navidad para empleados de la Institucion</t>
  </si>
  <si>
    <t>Material de Insumo para la Encuesta ENI</t>
  </si>
  <si>
    <t>Resma</t>
  </si>
  <si>
    <t>Caja</t>
  </si>
  <si>
    <t>Servicio de Fotocopiadora</t>
  </si>
  <si>
    <t>Material de Insumo para la Encuesta ENHOGAR</t>
  </si>
  <si>
    <t>Medicamentos</t>
  </si>
  <si>
    <t>Medicamentos para levantamiento Encuesta</t>
  </si>
  <si>
    <t>Insumos para levantamiento de Encuesta EMA</t>
  </si>
  <si>
    <t>Impresión Cuestionarios</t>
  </si>
  <si>
    <t>Impresión cuestionarios para Encuesta EMA</t>
  </si>
  <si>
    <t>M aterial Gastable</t>
  </si>
  <si>
    <t>Insumos para levantamiento EEA</t>
  </si>
  <si>
    <t>Impresión Cuestinarios EEA</t>
  </si>
  <si>
    <t>Transporte Encuestadores</t>
  </si>
  <si>
    <t>Servicio de transporte capacitacion encuesta</t>
  </si>
  <si>
    <t>Material gastable para uso de la institucion</t>
  </si>
  <si>
    <t>Docena</t>
  </si>
  <si>
    <t>Material Gastble</t>
  </si>
  <si>
    <t>Material gastable para ser utilizado en el censo</t>
  </si>
  <si>
    <t>Material Consumible</t>
  </si>
  <si>
    <t>Insumos consumibles para ser utilizados en el Pre Censo</t>
  </si>
  <si>
    <t>Paquete</t>
  </si>
  <si>
    <t>Telefono Voip y modulo de expansion</t>
  </si>
  <si>
    <t>Adquisicion de Telefono y modulo de expansion piso 9</t>
  </si>
  <si>
    <t>Impresión de Manual para Pre Censo</t>
  </si>
  <si>
    <t>Impresión Cuestionario Pre Censo</t>
  </si>
  <si>
    <t>Impresión y Encuadernacion del Manual</t>
  </si>
  <si>
    <t>Seguridad Perimetral</t>
  </si>
  <si>
    <t>Seguridad Perimetral para infraestructura comunicaciones</t>
  </si>
  <si>
    <t>Gomas para Vehiculos</t>
  </si>
  <si>
    <t>Adquisicion gomas pára vehiculos de la institucion</t>
  </si>
  <si>
    <t>Salon de Evento</t>
  </si>
  <si>
    <t>Celebracion 1ra conferencia nacional de Estadisticas</t>
  </si>
  <si>
    <t>Licencias Software</t>
  </si>
  <si>
    <t>Adquisicion  de 3 Licencias de 2 Cores para la Institucion</t>
  </si>
  <si>
    <t>Mantenimiento vehiculo</t>
  </si>
  <si>
    <t>Mantenimiento y reparacion camioneta mitsubishi</t>
  </si>
  <si>
    <t>Servicio</t>
  </si>
  <si>
    <t>Servicio Mantenimiento Camioneta Nissan de la Institucion</t>
  </si>
  <si>
    <t>Publicidad</t>
  </si>
  <si>
    <t>Produccion y realizacion de tres bloques publicitarios</t>
  </si>
  <si>
    <t>Promocion publicidad Conferencia Estadisticas</t>
  </si>
  <si>
    <t>Renovacion Licencia Software</t>
  </si>
  <si>
    <t>Viajes al Exterior</t>
  </si>
  <si>
    <t>Adquisicion de boleto aereo</t>
  </si>
  <si>
    <t>Mantenimiento Baterias</t>
  </si>
  <si>
    <t>Baterias para modulo externo de Baterias</t>
  </si>
  <si>
    <t>Adquisicion Tonner para uso de la isntitucion</t>
  </si>
  <si>
    <t>Servicio de Consultoria</t>
  </si>
  <si>
    <t>Consultoria Diseño y Selección del marco muestral para ENHOGAR</t>
  </si>
  <si>
    <t>Publicidad ONE programa Ventana de Noticias</t>
  </si>
  <si>
    <t>Publicidad ONE programa Dialogo Urgente</t>
  </si>
  <si>
    <t>Publicidad ONE programa El Poder de la Gente</t>
  </si>
  <si>
    <t>Publicidad ONE programa Buenas Noticias</t>
  </si>
  <si>
    <t>Publicidad ONE programa Propuesta Final</t>
  </si>
  <si>
    <t>Publicidad ONE programa El Poder de la Tarde</t>
  </si>
  <si>
    <t>Publicidad ONE programa El Punto</t>
  </si>
  <si>
    <t>Publicidad ONE programa En Meridiano</t>
  </si>
  <si>
    <t>Publicidad ONE programa A Diario</t>
  </si>
  <si>
    <t>Publicidad ONE programa De Cerca</t>
  </si>
  <si>
    <t>Publicidad ONE programa Telemicro 1ra emision noticias</t>
  </si>
  <si>
    <t>Publicidad ONE programa Proceso</t>
  </si>
  <si>
    <t>Publicidad ONE programa Contacto</t>
  </si>
  <si>
    <t>Publicidad ONE programa Television</t>
  </si>
</sst>
</file>

<file path=xl/styles.xml><?xml version="1.0" encoding="utf-8"?>
<styleSheet xmlns="http://schemas.openxmlformats.org/spreadsheetml/2006/main">
  <numFmts count="3">
    <numFmt numFmtId="164" formatCode="dd\-mm\-yyyy"/>
    <numFmt numFmtId="165" formatCode="_-[$RD$-1C0A]* #,##0.00_-;\-[$RD$-1C0A]* #,##0.00_-;_-[$RD$-1C0A]* &quot;-&quot;??_-;_-@_-"/>
    <numFmt numFmtId="166" formatCode="_-[$RD$-1C0A]* #,##0.00_ ;_-[$RD$-1C0A]* \-#,##0.00\ ;_-[$RD$-1C0A]* &quot; - &quot;??_ ;_-@_ "/>
  </numFmts>
  <fonts count="13">
    <font>
      <sz val="11"/>
      <color theme="1"/>
      <name val="Calibri"/>
      <family val="2"/>
      <scheme val="minor"/>
    </font>
    <font>
      <sz val="11"/>
      <color theme="1"/>
      <name val="Calibri"/>
      <family val="2"/>
      <scheme val="minor"/>
    </font>
    <font>
      <b/>
      <sz val="8"/>
      <color theme="1"/>
      <name val="Calibri"/>
      <family val="2"/>
      <scheme val="minor"/>
    </font>
    <font>
      <sz val="14"/>
      <color theme="1"/>
      <name val="Arial Narrow"/>
      <family val="2"/>
    </font>
    <font>
      <b/>
      <sz val="12"/>
      <color theme="1"/>
      <name val="Arial Narrow"/>
      <family val="2"/>
    </font>
    <font>
      <b/>
      <sz val="16"/>
      <color theme="1"/>
      <name val="Arial Narrow"/>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sz val="11"/>
      <color theme="1"/>
      <name val="Arial Narrow"/>
      <family val="2"/>
    </font>
    <font>
      <sz val="8"/>
      <color theme="1"/>
      <name val="Calibri"/>
      <family val="2"/>
      <scheme val="minor"/>
    </font>
    <font>
      <b/>
      <sz val="9"/>
      <name val="Tahoma"/>
      <family val="2"/>
    </font>
  </fonts>
  <fills count="9">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style="medium">
        <color auto="1"/>
      </left>
      <right style="medium">
        <color auto="1"/>
      </right>
      <top style="medium">
        <color auto="1"/>
      </top>
      <bottom style="medium">
        <color auto="1"/>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4">
    <xf numFmtId="0" fontId="0" fillId="0" borderId="0"/>
    <xf numFmtId="0" fontId="2" fillId="2" borderId="1">
      <alignment horizontal="center" vertical="center" wrapText="1"/>
    </xf>
    <xf numFmtId="0" fontId="2" fillId="0" borderId="1">
      <alignment horizontal="center" vertical="center"/>
    </xf>
    <xf numFmtId="0" fontId="2" fillId="2" borderId="1">
      <alignment horizontal="center" vertical="center" textRotation="90" wrapText="1"/>
    </xf>
    <xf numFmtId="0" fontId="2" fillId="3" borderId="1">
      <alignment horizontal="center" vertical="center"/>
    </xf>
    <xf numFmtId="164" fontId="2" fillId="0" borderId="1">
      <alignment horizontal="center" vertical="center"/>
    </xf>
    <xf numFmtId="0" fontId="2" fillId="3" borderId="1">
      <alignment horizontal="center" vertical="center"/>
    </xf>
    <xf numFmtId="0" fontId="2" fillId="0" borderId="1">
      <alignment horizontal="left" vertical="center"/>
    </xf>
    <xf numFmtId="0" fontId="2" fillId="0" borderId="1">
      <alignment horizontal="center" vertical="center"/>
    </xf>
    <xf numFmtId="0" fontId="2" fillId="7" borderId="1">
      <alignment horizontal="center" vertical="center"/>
    </xf>
    <xf numFmtId="0" fontId="11" fillId="8" borderId="8">
      <alignment horizontal="center" vertical="center"/>
    </xf>
    <xf numFmtId="0" fontId="11" fillId="8" borderId="8">
      <alignment horizontal="center" vertical="center" wrapText="1"/>
    </xf>
    <xf numFmtId="0" fontId="11" fillId="8" borderId="8">
      <alignment horizontal="left" vertical="center"/>
    </xf>
    <xf numFmtId="166" fontId="11" fillId="8" borderId="8">
      <alignment horizontal="center" vertical="center"/>
    </xf>
  </cellStyleXfs>
  <cellXfs count="53">
    <xf numFmtId="0" fontId="0" fillId="0" borderId="0" xfId="0"/>
    <xf numFmtId="0" fontId="2" fillId="2" borderId="1" xfId="1">
      <alignment horizontal="center" vertical="center" wrapText="1"/>
    </xf>
    <xf numFmtId="0" fontId="2" fillId="0" borderId="1" xfId="2" applyProtection="1">
      <alignment horizontal="center" vertical="center"/>
      <protection locked="0"/>
    </xf>
    <xf numFmtId="0" fontId="2" fillId="2" borderId="1" xfId="3">
      <alignment horizontal="center" vertical="center" textRotation="90" wrapText="1"/>
    </xf>
    <xf numFmtId="0" fontId="2" fillId="3" borderId="1" xfId="4">
      <alignment horizontal="center" vertical="center"/>
    </xf>
    <xf numFmtId="14" fontId="2" fillId="0" borderId="1" xfId="5" applyNumberFormat="1" applyProtection="1">
      <alignment horizontal="center" vertical="center"/>
      <protection locked="0"/>
    </xf>
    <xf numFmtId="0" fontId="2" fillId="0" borderId="1" xfId="2">
      <alignment horizontal="center" vertical="center"/>
    </xf>
    <xf numFmtId="0" fontId="2" fillId="0" borderId="1" xfId="2">
      <alignment horizontal="center" vertical="center"/>
    </xf>
    <xf numFmtId="0" fontId="3" fillId="0"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0" borderId="2" xfId="0" applyFont="1" applyBorder="1" applyAlignment="1" applyProtection="1">
      <alignment vertical="center"/>
      <protection hidden="1"/>
    </xf>
    <xf numFmtId="0" fontId="4" fillId="5" borderId="0" xfId="0" applyFont="1" applyFill="1" applyBorder="1" applyAlignment="1" applyProtection="1">
      <alignment horizontal="center" vertical="top" wrapText="1"/>
    </xf>
    <xf numFmtId="0" fontId="4" fillId="4" borderId="0" xfId="0" applyFont="1" applyFill="1" applyBorder="1" applyAlignment="1" applyProtection="1">
      <alignment vertical="top" wrapText="1"/>
    </xf>
    <xf numFmtId="0" fontId="4" fillId="5"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3" fillId="4" borderId="0"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7" fillId="4" borderId="0" xfId="0" applyFont="1" applyFill="1" applyBorder="1" applyAlignment="1" applyProtection="1">
      <alignment vertical="center"/>
      <protection hidden="1"/>
    </xf>
    <xf numFmtId="0" fontId="7" fillId="4" borderId="4" xfId="0" applyFont="1" applyFill="1" applyBorder="1" applyAlignment="1" applyProtection="1">
      <alignment vertical="center"/>
      <protection hidden="1"/>
    </xf>
    <xf numFmtId="38" fontId="8" fillId="5" borderId="5" xfId="0" applyNumberFormat="1" applyFont="1" applyFill="1" applyBorder="1" applyAlignment="1" applyProtection="1">
      <alignment vertical="center" wrapText="1"/>
    </xf>
    <xf numFmtId="49" fontId="9" fillId="0" borderId="5"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0" fontId="6" fillId="4" borderId="0" xfId="0" applyFont="1" applyFill="1" applyBorder="1" applyAlignment="1" applyProtection="1">
      <alignment vertical="center"/>
    </xf>
    <xf numFmtId="0" fontId="8" fillId="6" borderId="5" xfId="0" applyFont="1" applyFill="1" applyBorder="1" applyAlignment="1" applyProtection="1">
      <alignment horizontal="left" vertical="center"/>
    </xf>
    <xf numFmtId="0" fontId="9" fillId="0" borderId="1" xfId="0" applyFont="1" applyFill="1" applyBorder="1" applyAlignment="1" applyProtection="1">
      <alignment vertical="center"/>
    </xf>
    <xf numFmtId="0" fontId="8" fillId="6" borderId="7" xfId="0" applyFont="1" applyFill="1" applyBorder="1" applyAlignment="1" applyProtection="1">
      <alignment horizontal="left" vertical="center"/>
    </xf>
    <xf numFmtId="165" fontId="9" fillId="0" borderId="1" xfId="0" applyNumberFormat="1" applyFont="1" applyFill="1" applyBorder="1" applyAlignment="1" applyProtection="1">
      <alignment vertical="center"/>
    </xf>
    <xf numFmtId="0" fontId="7" fillId="4" borderId="0" xfId="0" applyFont="1" applyFill="1" applyAlignment="1" applyProtection="1">
      <alignment vertical="center"/>
      <protection hidden="1"/>
    </xf>
    <xf numFmtId="1" fontId="9" fillId="0" borderId="5" xfId="0" applyNumberFormat="1" applyFont="1" applyFill="1" applyBorder="1" applyAlignment="1" applyProtection="1">
      <alignment horizontal="center" vertical="center" wrapText="1"/>
      <protection locked="0"/>
    </xf>
    <xf numFmtId="1" fontId="9" fillId="0" borderId="6"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vertical="center"/>
      <protection hidden="1"/>
    </xf>
    <xf numFmtId="14" fontId="9" fillId="0" borderId="5" xfId="0" applyNumberFormat="1" applyFont="1" applyFill="1" applyBorder="1" applyAlignment="1" applyProtection="1">
      <alignment horizontal="center" vertical="center" wrapText="1"/>
      <protection locked="0"/>
    </xf>
    <xf numFmtId="14" fontId="9" fillId="0" borderId="6" xfId="0" applyNumberFormat="1" applyFont="1" applyFill="1" applyBorder="1" applyAlignment="1" applyProtection="1">
      <alignment horizontal="center" vertical="center" wrapText="1"/>
      <protection locked="0"/>
    </xf>
    <xf numFmtId="0" fontId="10" fillId="0" borderId="0" xfId="0" applyFont="1" applyAlignment="1" applyProtection="1">
      <alignment vertical="center"/>
    </xf>
    <xf numFmtId="164" fontId="2" fillId="0" borderId="1" xfId="5" applyProtection="1">
      <alignment horizontal="center" vertical="center"/>
      <protection locked="0"/>
    </xf>
    <xf numFmtId="0" fontId="2" fillId="3" borderId="1" xfId="6">
      <alignment horizontal="center" vertical="center"/>
    </xf>
    <xf numFmtId="0" fontId="2" fillId="0" borderId="1" xfId="7" applyProtection="1">
      <alignment horizontal="left" vertical="center"/>
      <protection locked="0"/>
    </xf>
    <xf numFmtId="0" fontId="2" fillId="0" borderId="1" xfId="8">
      <alignment horizontal="center" vertical="center"/>
    </xf>
    <xf numFmtId="0" fontId="2" fillId="7" borderId="1" xfId="9" applyFont="1">
      <alignment horizontal="center" vertical="center"/>
    </xf>
    <xf numFmtId="0" fontId="11" fillId="8" borderId="8" xfId="10" applyProtection="1">
      <alignment horizontal="center" vertical="center"/>
      <protection locked="0"/>
    </xf>
    <xf numFmtId="0" fontId="11" fillId="8" borderId="8" xfId="11">
      <alignment horizontal="center" vertical="center" wrapText="1"/>
    </xf>
    <xf numFmtId="0" fontId="11" fillId="8" borderId="8" xfId="12" applyProtection="1">
      <alignment horizontal="left" vertical="center"/>
      <protection locked="0"/>
    </xf>
    <xf numFmtId="166" fontId="11" fillId="8" borderId="8" xfId="13" applyProtection="1">
      <alignment horizontal="center" vertical="center"/>
      <protection locked="0"/>
    </xf>
    <xf numFmtId="166" fontId="11" fillId="8" borderId="8" xfId="13">
      <alignment horizontal="center" vertical="center"/>
    </xf>
    <xf numFmtId="0" fontId="2" fillId="7" borderId="8" xfId="9" applyFont="1" applyBorder="1">
      <alignment horizontal="center" vertical="center"/>
    </xf>
    <xf numFmtId="166" fontId="11" fillId="7" borderId="8" xfId="13" applyFill="1">
      <alignment horizontal="center" vertical="center"/>
    </xf>
    <xf numFmtId="0" fontId="2" fillId="0" borderId="1" xfId="2" applyAlignment="1" applyProtection="1">
      <alignment horizontal="center" vertical="center" wrapText="1"/>
      <protection locked="0"/>
    </xf>
    <xf numFmtId="0" fontId="11" fillId="0" borderId="0" xfId="0" applyFont="1" applyProtection="1"/>
    <xf numFmtId="0" fontId="2" fillId="7" borderId="8" xfId="9" applyBorder="1">
      <alignment horizontal="center" vertical="center"/>
    </xf>
    <xf numFmtId="0" fontId="11" fillId="0" borderId="8" xfId="0" applyFont="1" applyBorder="1" applyAlignment="1" applyProtection="1">
      <alignment horizontal="center" vertical="center"/>
      <protection locked="0"/>
    </xf>
  </cellXfs>
  <cellStyles count="14">
    <cellStyle name="ArticleBody" xfId="10"/>
    <cellStyle name="ArticleBody_currency" xfId="13"/>
    <cellStyle name="ArticleBody_text" xfId="12"/>
    <cellStyle name="ArticleBody_UNSCPCDescription" xfId="11"/>
    <cellStyle name="ArticleHeader" xfId="9"/>
    <cellStyle name="Normal" xfId="0" builtinId="0"/>
    <cellStyle name="ProcessBody" xfId="2"/>
    <cellStyle name="ProcessBody_address" xfId="7"/>
    <cellStyle name="ProcessBody_datetime" xfId="5"/>
    <cellStyle name="ProcessBody_number" xfId="8"/>
    <cellStyle name="ProcessHeader" xfId="1"/>
    <cellStyle name="ProcessHeader_vertical" xfId="3"/>
    <cellStyle name="ProcessSubHeader" xfId="4"/>
    <cellStyle name="ProcessSubHeader_lugar" xfId="6"/>
  </cellStyles>
  <dxfs count="15">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relativeIndent="0" justifyLastLine="0" shrinkToFit="0" readingOrder="0"/>
      <border diagonalUp="0" diagonalDown="0">
        <left style="thin">
          <color auto="1"/>
        </left>
        <right style="thin">
          <color auto="1"/>
        </right>
        <top style="thin">
          <color auto="1"/>
        </top>
        <bottom style="thin">
          <color auto="1"/>
        </bottom>
        <vertical/>
        <horizontal/>
      </border>
      <protection locked="0" hidden="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0</xdr:rowOff>
    </xdr:to>
    <xdr:pic>
      <xdr:nvPicPr>
        <xdr:cNvPr id="2" name="Picture 4"/>
        <xdr:cNvPicPr>
          <a:picLocks noChangeAspect="1"/>
        </xdr:cNvPicPr>
      </xdr:nvPicPr>
      <xdr:blipFill>
        <a:blip xmlns:r="http://schemas.openxmlformats.org/officeDocument/2006/relationships" r:embed="rId1" cstate="print"/>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5</xdr:col>
      <xdr:colOff>342900</xdr:colOff>
      <xdr:row>0</xdr:row>
      <xdr:rowOff>9525</xdr:rowOff>
    </xdr:from>
    <xdr:to>
      <xdr:col>6</xdr:col>
      <xdr:colOff>0</xdr:colOff>
      <xdr:row>3</xdr:row>
      <xdr:rowOff>219075</xdr:rowOff>
    </xdr:to>
    <xdr:pic>
      <xdr:nvPicPr>
        <xdr:cNvPr id="3" name="Picture 5"/>
        <xdr:cNvPicPr>
          <a:picLocks noChangeAspect="1"/>
        </xdr:cNvPicPr>
      </xdr:nvPicPr>
      <xdr:blipFill>
        <a:blip xmlns:r="http://schemas.openxmlformats.org/officeDocument/2006/relationships" r:embed="rId2" cstate="print"/>
        <a:stretch>
          <a:fillRect/>
        </a:stretch>
      </xdr:blipFill>
      <xdr:spPr>
        <a:xfrm>
          <a:off x="9544050" y="9525"/>
          <a:ext cx="1009650" cy="1000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nidad%20de%20Compras\ADQUISICIONES\2018\PACC%202018%20ON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EN"/>
      <sheetName val="PACC"/>
      <sheetName val="Informacion "/>
      <sheetName val="UNSPSC"/>
      <sheetName val="ProcedureTemplate"/>
    </sheetNames>
    <sheetDataSet>
      <sheetData sheetId="0" refreshError="1"/>
      <sheetData sheetId="1"/>
      <sheetData sheetId="2">
        <row r="2">
          <cell r="P2" t="str">
            <v>Un</v>
          </cell>
          <cell r="Q2" t="str">
            <v>Desc.</v>
          </cell>
        </row>
        <row r="3">
          <cell r="A3" t="str">
            <v>CIBAO NORTE</v>
          </cell>
          <cell r="B3" t="str">
            <v>CIBAO NORTE</v>
          </cell>
          <cell r="C3" t="str">
            <v>Santiago</v>
          </cell>
          <cell r="E3" t="str">
            <v>Santiago</v>
          </cell>
          <cell r="F3" t="str">
            <v>Santiago de los Caballeros</v>
          </cell>
          <cell r="I3" t="str">
            <v>Arenoso</v>
          </cell>
          <cell r="J3" t="str">
            <v>Arenoso</v>
          </cell>
          <cell r="P3" t="str">
            <v>CAJ</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P4" t="str">
            <v>CM</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P5" t="str">
            <v>CM2</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P6" t="str">
            <v>CT</v>
          </cell>
          <cell r="Q6" t="str">
            <v>Ciento</v>
          </cell>
        </row>
        <row r="7">
          <cell r="A7" t="str">
            <v>VALDESIA</v>
          </cell>
          <cell r="B7" t="str">
            <v>CIBAO SUR</v>
          </cell>
          <cell r="C7" t="str">
            <v>Monseñor Nouel</v>
          </cell>
          <cell r="E7" t="str">
            <v>Santiago</v>
          </cell>
          <cell r="F7" t="str">
            <v>Licey al Medio</v>
          </cell>
          <cell r="I7" t="str">
            <v>Hostos</v>
          </cell>
          <cell r="J7" t="str">
            <v>Hostos</v>
          </cell>
          <cell r="P7" t="str">
            <v>DEC</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P8" t="str">
            <v>DM</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P9" t="str">
            <v>DÍA</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P10" t="str">
            <v>DOC</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P11" t="str">
            <v>GAL</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P12" t="str">
            <v>G</v>
          </cell>
          <cell r="Q12" t="str">
            <v>Gramo</v>
          </cell>
        </row>
        <row r="13">
          <cell r="B13" t="str">
            <v>CIBAO NOROESTE</v>
          </cell>
          <cell r="C13" t="str">
            <v>Valverde</v>
          </cell>
          <cell r="E13" t="str">
            <v>Puerto Plata</v>
          </cell>
          <cell r="F13" t="str">
            <v>Altamira</v>
          </cell>
          <cell r="I13" t="str">
            <v>San Fco. de Macorís</v>
          </cell>
          <cell r="J13" t="str">
            <v>Jaya</v>
          </cell>
          <cell r="P13" t="str">
            <v>H</v>
          </cell>
          <cell r="Q13" t="str">
            <v>Hora</v>
          </cell>
        </row>
        <row r="14">
          <cell r="B14" t="str">
            <v>CIBAO NOROESTE</v>
          </cell>
          <cell r="C14" t="str">
            <v>Santiago Rodriguez</v>
          </cell>
          <cell r="E14" t="str">
            <v>Puerto Plata</v>
          </cell>
          <cell r="F14" t="str">
            <v>Guananico</v>
          </cell>
          <cell r="I14" t="str">
            <v>San Fco. de Macorís</v>
          </cell>
          <cell r="J14" t="str">
            <v>La Peña</v>
          </cell>
          <cell r="P14" t="str">
            <v>H/H</v>
          </cell>
          <cell r="Q14" t="str">
            <v>Hora Hombre</v>
          </cell>
        </row>
        <row r="15">
          <cell r="B15" t="str">
            <v>CIBAO NOROESTE</v>
          </cell>
          <cell r="C15" t="str">
            <v>Montecristi</v>
          </cell>
          <cell r="E15" t="str">
            <v>Puerto Plata</v>
          </cell>
          <cell r="F15" t="str">
            <v>Imbert</v>
          </cell>
          <cell r="I15" t="str">
            <v>San Fco. de Macorís</v>
          </cell>
          <cell r="J15" t="str">
            <v>San Fco. de Macorís</v>
          </cell>
          <cell r="P15" t="str">
            <v>KG</v>
          </cell>
          <cell r="Q15" t="str">
            <v>Kilogramo</v>
          </cell>
        </row>
        <row r="16">
          <cell r="B16" t="str">
            <v>CIBAO NOROESTE</v>
          </cell>
          <cell r="C16" t="str">
            <v>Dajabón</v>
          </cell>
          <cell r="E16" t="str">
            <v>Puerto Plata</v>
          </cell>
          <cell r="F16" t="str">
            <v>Los Hidalgos</v>
          </cell>
          <cell r="I16" t="str">
            <v>Villa Riva</v>
          </cell>
          <cell r="J16" t="str">
            <v>Agua Santa del Yuna</v>
          </cell>
          <cell r="P16" t="str">
            <v>KM</v>
          </cell>
          <cell r="Q16" t="str">
            <v>Kilómetro</v>
          </cell>
        </row>
        <row r="17">
          <cell r="B17" t="str">
            <v>VALDESIA</v>
          </cell>
          <cell r="C17" t="str">
            <v>San Cristóbal</v>
          </cell>
          <cell r="E17" t="str">
            <v>Puerto Plata</v>
          </cell>
          <cell r="F17" t="str">
            <v>Luperón</v>
          </cell>
          <cell r="I17" t="str">
            <v>Villa Riva</v>
          </cell>
          <cell r="J17" t="str">
            <v>Barraquito</v>
          </cell>
          <cell r="P17" t="str">
            <v>KM2</v>
          </cell>
          <cell r="Q17" t="str">
            <v>Kilómetro cuadrado</v>
          </cell>
        </row>
        <row r="18">
          <cell r="B18" t="str">
            <v>VALDESIA</v>
          </cell>
          <cell r="C18" t="str">
            <v>Peravia</v>
          </cell>
          <cell r="E18" t="str">
            <v>Puerto Plata</v>
          </cell>
          <cell r="F18" t="str">
            <v>Sosúa</v>
          </cell>
          <cell r="I18" t="str">
            <v>Villa Riva</v>
          </cell>
          <cell r="J18" t="str">
            <v>Cristo Rey de Guaraguao</v>
          </cell>
          <cell r="P18" t="str">
            <v>LB</v>
          </cell>
          <cell r="Q18" t="str">
            <v>Libra </v>
          </cell>
        </row>
        <row r="19">
          <cell r="B19" t="str">
            <v>VALDESIA</v>
          </cell>
          <cell r="C19" t="str">
            <v>San José de Ocoa</v>
          </cell>
          <cell r="E19" t="str">
            <v>Puerto Plata</v>
          </cell>
          <cell r="F19" t="str">
            <v>Villa Isabela</v>
          </cell>
          <cell r="I19" t="str">
            <v>Villa Riva</v>
          </cell>
          <cell r="J19" t="str">
            <v>Las Táranas</v>
          </cell>
          <cell r="P19" t="str">
            <v>L</v>
          </cell>
          <cell r="Q19" t="str">
            <v>Litro</v>
          </cell>
        </row>
        <row r="20">
          <cell r="B20" t="str">
            <v>VALDESIA</v>
          </cell>
          <cell r="C20" t="str">
            <v>Azua</v>
          </cell>
          <cell r="E20" t="str">
            <v>Puerto Plata</v>
          </cell>
          <cell r="F20" t="str">
            <v>Villa Montellano</v>
          </cell>
          <cell r="I20" t="str">
            <v>Villa Riva</v>
          </cell>
          <cell r="J20" t="str">
            <v>Villa Riva</v>
          </cell>
          <cell r="P20" t="str">
            <v>MES</v>
          </cell>
          <cell r="Q20" t="str">
            <v>Mes</v>
          </cell>
        </row>
        <row r="21">
          <cell r="B21" t="str">
            <v>ENRIQUILLO</v>
          </cell>
          <cell r="C21" t="str">
            <v>Barahona</v>
          </cell>
          <cell r="E21" t="str">
            <v>Espaillat</v>
          </cell>
          <cell r="F21" t="str">
            <v>Moca</v>
          </cell>
          <cell r="I21" t="str">
            <v>Salcedo</v>
          </cell>
          <cell r="J21" t="str">
            <v>Jamao Afuera</v>
          </cell>
          <cell r="P21" t="str">
            <v>M</v>
          </cell>
          <cell r="Q21" t="str">
            <v>Metro</v>
          </cell>
        </row>
        <row r="22">
          <cell r="B22" t="str">
            <v>ENRIQUILLO</v>
          </cell>
          <cell r="C22" t="str">
            <v>Bahoruco</v>
          </cell>
          <cell r="E22" t="str">
            <v>Espaillat</v>
          </cell>
          <cell r="F22" t="str">
            <v>Cayetano Germosén</v>
          </cell>
          <cell r="I22" t="str">
            <v>Salcedo</v>
          </cell>
          <cell r="J22" t="str">
            <v>Salcedo</v>
          </cell>
          <cell r="P22" t="str">
            <v>M2</v>
          </cell>
          <cell r="Q22" t="str">
            <v>Metro cuadrado</v>
          </cell>
        </row>
        <row r="23">
          <cell r="B23" t="str">
            <v>ENRIQUILLO</v>
          </cell>
          <cell r="C23" t="str">
            <v>Pedernales</v>
          </cell>
          <cell r="E23" t="str">
            <v>Espaillat</v>
          </cell>
          <cell r="F23" t="str">
            <v>Gaspar Hernández</v>
          </cell>
          <cell r="I23" t="str">
            <v>Tenares</v>
          </cell>
          <cell r="J23" t="str">
            <v>Blanco</v>
          </cell>
          <cell r="P23" t="str">
            <v>M3</v>
          </cell>
          <cell r="Q23" t="str">
            <v>Metro cúbico</v>
          </cell>
        </row>
        <row r="24">
          <cell r="B24" t="str">
            <v>ENRIQUILLO</v>
          </cell>
          <cell r="C24" t="str">
            <v>Independencia</v>
          </cell>
          <cell r="E24" t="str">
            <v>Espaillat</v>
          </cell>
          <cell r="F24" t="str">
            <v>Jamao al Norte</v>
          </cell>
          <cell r="I24" t="str">
            <v>Tenares</v>
          </cell>
          <cell r="J24" t="str">
            <v>Tenares</v>
          </cell>
          <cell r="P24" t="str">
            <v>MG</v>
          </cell>
          <cell r="Q24" t="str">
            <v>Miligramo</v>
          </cell>
        </row>
        <row r="25">
          <cell r="B25" t="str">
            <v>EL VALLE</v>
          </cell>
          <cell r="C25" t="str">
            <v>San Juan</v>
          </cell>
          <cell r="E25" t="str">
            <v>Concepción de La Vega</v>
          </cell>
          <cell r="F25" t="str">
            <v>La Vega</v>
          </cell>
          <cell r="I25" t="str">
            <v>Villa Tapia</v>
          </cell>
          <cell r="J25" t="str">
            <v>Villa Tapia</v>
          </cell>
          <cell r="P25" t="str">
            <v>MM</v>
          </cell>
          <cell r="Q25" t="str">
            <v>Milímetro</v>
          </cell>
        </row>
        <row r="26">
          <cell r="B26" t="str">
            <v>EL VALLE</v>
          </cell>
          <cell r="C26" t="str">
            <v>Elías Piña</v>
          </cell>
          <cell r="E26" t="str">
            <v>Concepción de La Vega</v>
          </cell>
          <cell r="F26" t="str">
            <v>Constanza</v>
          </cell>
          <cell r="I26" t="str">
            <v>Cabrera</v>
          </cell>
          <cell r="J26" t="str">
            <v>Arroyo Salado</v>
          </cell>
          <cell r="P26" t="str">
            <v>MI</v>
          </cell>
          <cell r="Q26" t="str">
            <v>Milla</v>
          </cell>
        </row>
        <row r="27">
          <cell r="B27" t="str">
            <v>YUMA</v>
          </cell>
          <cell r="C27" t="str">
            <v>La Romana</v>
          </cell>
          <cell r="E27" t="str">
            <v>Concepción de La Vega</v>
          </cell>
          <cell r="F27" t="str">
            <v>Jarabacoa</v>
          </cell>
          <cell r="I27" t="str">
            <v>Cabrera</v>
          </cell>
          <cell r="J27" t="str">
            <v>Cabrera</v>
          </cell>
          <cell r="P27" t="str">
            <v>MIL</v>
          </cell>
          <cell r="Q27" t="str">
            <v>Millar</v>
          </cell>
        </row>
        <row r="28">
          <cell r="B28" t="str">
            <v>YUMA</v>
          </cell>
          <cell r="C28" t="str">
            <v>La Altagracia</v>
          </cell>
          <cell r="E28" t="str">
            <v>Concepción de La Vega</v>
          </cell>
          <cell r="F28" t="str">
            <v>Jima Abajo</v>
          </cell>
          <cell r="I28" t="str">
            <v>Cabrera</v>
          </cell>
          <cell r="J28" t="str">
            <v>La Entrada</v>
          </cell>
          <cell r="P28" t="str">
            <v>OZ</v>
          </cell>
          <cell r="Q28" t="str">
            <v>Onza</v>
          </cell>
        </row>
        <row r="29">
          <cell r="B29" t="str">
            <v>YUMA</v>
          </cell>
          <cell r="C29" t="str">
            <v>El Seibo</v>
          </cell>
          <cell r="E29" t="str">
            <v>Monseñor Nouel</v>
          </cell>
          <cell r="F29" t="str">
            <v>Bonao</v>
          </cell>
          <cell r="I29" t="str">
            <v>El Factor</v>
          </cell>
          <cell r="J29" t="str">
            <v>El Factor</v>
          </cell>
          <cell r="P29" t="str">
            <v>PAQ</v>
          </cell>
          <cell r="Q29" t="str">
            <v>Paquete</v>
          </cell>
        </row>
        <row r="30">
          <cell r="B30" t="str">
            <v>HIGUAMO</v>
          </cell>
          <cell r="C30" t="str">
            <v>San Pedro de Macorís</v>
          </cell>
          <cell r="E30" t="str">
            <v>Monseñor Nouel</v>
          </cell>
          <cell r="F30" t="str">
            <v>Maimón</v>
          </cell>
          <cell r="I30" t="str">
            <v>El Factor</v>
          </cell>
          <cell r="J30" t="str">
            <v>El Pozo</v>
          </cell>
          <cell r="P30" t="str">
            <v>FT</v>
          </cell>
          <cell r="Q30" t="str">
            <v>Pie</v>
          </cell>
        </row>
        <row r="31">
          <cell r="B31" t="str">
            <v>HIGUAMO</v>
          </cell>
          <cell r="C31" t="str">
            <v>Hato Mayor</v>
          </cell>
          <cell r="E31" t="str">
            <v>Monseñor Nouel</v>
          </cell>
          <cell r="F31" t="str">
            <v>Piedra Blanca</v>
          </cell>
          <cell r="I31" t="str">
            <v>Nagua</v>
          </cell>
          <cell r="J31" t="str">
            <v>Arroyo al Medio</v>
          </cell>
          <cell r="P31" t="str">
            <v>FT2</v>
          </cell>
          <cell r="Q31" t="str">
            <v>Pie cuadrado</v>
          </cell>
        </row>
        <row r="32">
          <cell r="B32" t="str">
            <v>HIGUAMO</v>
          </cell>
          <cell r="C32" t="str">
            <v>Monte Plata</v>
          </cell>
          <cell r="E32" t="str">
            <v>Sánchez Ramírez</v>
          </cell>
          <cell r="F32" t="str">
            <v>Cotuí</v>
          </cell>
          <cell r="I32" t="str">
            <v>Nagua</v>
          </cell>
          <cell r="J32" t="str">
            <v>Las Gordas</v>
          </cell>
          <cell r="P32" t="str">
            <v>FT3</v>
          </cell>
          <cell r="Q32" t="str">
            <v>Pie cúbico</v>
          </cell>
        </row>
        <row r="33">
          <cell r="B33" t="str">
            <v>OZAMA O METROPOLITANA</v>
          </cell>
          <cell r="C33" t="str">
            <v>Distrito Nacional</v>
          </cell>
          <cell r="E33" t="str">
            <v>Sánchez Ramírez</v>
          </cell>
          <cell r="F33" t="str">
            <v>Cevicos</v>
          </cell>
          <cell r="I33" t="str">
            <v>Nagua</v>
          </cell>
          <cell r="J33" t="str">
            <v>Nagua</v>
          </cell>
          <cell r="P33" t="str">
            <v>IN</v>
          </cell>
          <cell r="Q33" t="str">
            <v>Pulgada</v>
          </cell>
        </row>
        <row r="34">
          <cell r="B34" t="str">
            <v>OZAMA O METROPOLITANA</v>
          </cell>
          <cell r="C34" t="str">
            <v>Santo Domingo</v>
          </cell>
          <cell r="E34" t="str">
            <v>Sánchez Ramírez</v>
          </cell>
          <cell r="F34" t="str">
            <v>Fantino</v>
          </cell>
          <cell r="I34" t="str">
            <v>Nagua</v>
          </cell>
          <cell r="J34" t="str">
            <v>San José de Matanzas</v>
          </cell>
          <cell r="P34" t="str">
            <v>PULG</v>
          </cell>
          <cell r="Q34" t="str">
            <v>Pulgada</v>
          </cell>
        </row>
        <row r="35">
          <cell r="E35" t="str">
            <v>Sánchez Ramírez</v>
          </cell>
          <cell r="F35" t="str">
            <v>La Mata</v>
          </cell>
          <cell r="I35" t="str">
            <v>Río San Juan</v>
          </cell>
          <cell r="J35" t="str">
            <v>Río San Juan</v>
          </cell>
          <cell r="P35" t="str">
            <v>IN2</v>
          </cell>
          <cell r="Q35" t="str">
            <v>Pulgada cuadrada</v>
          </cell>
        </row>
        <row r="36">
          <cell r="E36" t="str">
            <v>Duarte</v>
          </cell>
          <cell r="F36" t="str">
            <v>San Fco. de Macorís</v>
          </cell>
          <cell r="I36" t="str">
            <v>Las Terrenas</v>
          </cell>
          <cell r="J36" t="str">
            <v>Las Terrenas</v>
          </cell>
          <cell r="P36" t="str">
            <v>500UD</v>
          </cell>
          <cell r="Q36" t="str">
            <v>Quinientas unidades</v>
          </cell>
        </row>
        <row r="37">
          <cell r="E37" t="str">
            <v>Duarte</v>
          </cell>
          <cell r="F37" t="str">
            <v>Arenoso</v>
          </cell>
          <cell r="I37" t="str">
            <v>Sánchez</v>
          </cell>
          <cell r="J37" t="str">
            <v>Sánchez</v>
          </cell>
          <cell r="P37" t="str">
            <v>Q</v>
          </cell>
          <cell r="Q37" t="str">
            <v>Quintal</v>
          </cell>
        </row>
        <row r="38">
          <cell r="E38" t="str">
            <v>Duarte</v>
          </cell>
          <cell r="F38" t="str">
            <v>Castillo</v>
          </cell>
          <cell r="I38" t="str">
            <v>Santa Bárbara de Samaná</v>
          </cell>
          <cell r="J38" t="str">
            <v>Arroyo Barril</v>
          </cell>
          <cell r="P38" t="str">
            <v>RESMA</v>
          </cell>
          <cell r="Q38" t="str">
            <v>Resma</v>
          </cell>
        </row>
        <row r="39">
          <cell r="E39" t="str">
            <v>Duarte</v>
          </cell>
          <cell r="F39" t="str">
            <v>Hostos</v>
          </cell>
          <cell r="I39" t="str">
            <v>Santa Bárbara de Samaná</v>
          </cell>
          <cell r="J39" t="str">
            <v>El Limón</v>
          </cell>
          <cell r="P39" t="str">
            <v>SEM</v>
          </cell>
          <cell r="Q39" t="str">
            <v>Semana</v>
          </cell>
        </row>
        <row r="40">
          <cell r="E40" t="str">
            <v>Duarte</v>
          </cell>
          <cell r="F40" t="str">
            <v>Pimentel</v>
          </cell>
          <cell r="I40" t="str">
            <v>Santa Bárbara de Samaná</v>
          </cell>
          <cell r="J40" t="str">
            <v>Las Galeras</v>
          </cell>
          <cell r="P40" t="str">
            <v>TON</v>
          </cell>
          <cell r="Q40" t="str">
            <v>Tonelada</v>
          </cell>
        </row>
        <row r="41">
          <cell r="E41" t="str">
            <v>Duarte</v>
          </cell>
          <cell r="F41" t="str">
            <v>Villa Riva</v>
          </cell>
          <cell r="I41" t="str">
            <v>Santa Bárbara de Samaná</v>
          </cell>
          <cell r="J41" t="str">
            <v>Santa Bárbara de Samaná</v>
          </cell>
          <cell r="P41" t="str">
            <v>UD</v>
          </cell>
          <cell r="Q41" t="str">
            <v>Unidad</v>
          </cell>
        </row>
        <row r="42">
          <cell r="E42" t="str">
            <v>Duarte</v>
          </cell>
          <cell r="F42" t="str">
            <v>Las Guáranas</v>
          </cell>
          <cell r="I42" t="str">
            <v>Dajabón</v>
          </cell>
          <cell r="J42" t="str">
            <v>Cañongo</v>
          </cell>
          <cell r="P42" t="str">
            <v>YD</v>
          </cell>
          <cell r="Q42" t="str">
            <v>Yarda</v>
          </cell>
        </row>
        <row r="43">
          <cell r="E43" t="str">
            <v>Hermanas Mirabal</v>
          </cell>
          <cell r="F43" t="str">
            <v>Salcedo</v>
          </cell>
          <cell r="I43" t="str">
            <v>Dajabón</v>
          </cell>
          <cell r="J43" t="str">
            <v>Dajabón</v>
          </cell>
          <cell r="P43" t="str">
            <v>YD2</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refreshError="1"/>
    </sheetDataSet>
  </externalBook>
</externalLink>
</file>

<file path=xl/tables/table1.xml><?xml version="1.0" encoding="utf-8"?>
<table xmlns="http://schemas.openxmlformats.org/spreadsheetml/2006/main" id="1" name="Table30" displayName="Table30" ref="A383:F387"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id="10" name="Table40" displayName="Table40" ref="A505:F511" totalsRowShown="0">
  <tableColumns count="6">
    <tableColumn id="1" name="CÓDIGO CATÁLOGO"/>
    <tableColumn id="2" name="ARTÍCULO">
      <calculatedColumnFormula>IFERROR(INDEX(UNSPSCDes,MATCH(INDIRECT(ADDRESS(ROW(),COLUMN()-1,4)),UNSPSCCode,0)),IF(INDIRECT(ADDRESS(ROW(),COLUMN()-1,4))="44103103","Tóner para impresoras o fax",""))</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00.xml><?xml version="1.0" encoding="utf-8"?>
<table xmlns="http://schemas.openxmlformats.org/spreadsheetml/2006/main" id="100" name="Table3102" displayName="Table3102" ref="A1249:F1250" totalsRowShown="0">
  <autoFilter ref="A1249:F125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1.xml><?xml version="1.0" encoding="utf-8"?>
<table xmlns="http://schemas.openxmlformats.org/spreadsheetml/2006/main" id="101" name="Table3103" displayName="Table3103" ref="A1260:F1261" totalsRowShown="0">
  <autoFilter ref="A1260:F126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2.xml><?xml version="1.0" encoding="utf-8"?>
<table xmlns="http://schemas.openxmlformats.org/spreadsheetml/2006/main" id="102" name="Table3104" displayName="Table3104" ref="A1271:F1272" totalsRowShown="0">
  <autoFilter ref="A1271:F127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3.xml><?xml version="1.0" encoding="utf-8"?>
<table xmlns="http://schemas.openxmlformats.org/spreadsheetml/2006/main" id="103" name="Table3105" displayName="Table3105" ref="A1282:F1283" totalsRowShown="0">
  <autoFilter ref="A1282:F128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4.xml><?xml version="1.0" encoding="utf-8"?>
<table xmlns="http://schemas.openxmlformats.org/spreadsheetml/2006/main" id="104" name="Table3106" displayName="Table3106" ref="A1293:F1294" totalsRowShown="0">
  <autoFilter ref="A1293:F129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5.xml><?xml version="1.0" encoding="utf-8"?>
<table xmlns="http://schemas.openxmlformats.org/spreadsheetml/2006/main" id="105" name="Table3107" displayName="Table3107" ref="A1304:F1305" totalsRowShown="0">
  <autoFilter ref="A1304:F130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6.xml><?xml version="1.0" encoding="utf-8"?>
<table xmlns="http://schemas.openxmlformats.org/spreadsheetml/2006/main" id="106" name="Table3108" displayName="Table3108" ref="A1315:F1328" totalsRowShown="0">
  <autoFilter ref="A1315:F132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7.xml><?xml version="1.0" encoding="utf-8"?>
<table xmlns="http://schemas.openxmlformats.org/spreadsheetml/2006/main" id="107" name="Table3109" displayName="Table3109" ref="A1338:F1339" totalsRowShown="0">
  <autoFilter ref="A1338:F13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8.xml><?xml version="1.0" encoding="utf-8"?>
<table xmlns="http://schemas.openxmlformats.org/spreadsheetml/2006/main" id="108" name="Table3110" displayName="Table3110" ref="A1349:F1351" totalsRowShown="0">
  <autoFilter ref="A1349:F135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9.xml><?xml version="1.0" encoding="utf-8"?>
<table xmlns="http://schemas.openxmlformats.org/spreadsheetml/2006/main" id="109" name="Table3111" displayName="Table3111" ref="A1361:F1362" totalsRowShown="0">
  <autoFilter ref="A1361:F136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1" name="Table16" displayName="Table16" ref="A200:F201" totalsRowShown="0">
  <tableColumns count="6">
    <tableColumn id="1" name="CÓDIGO CATÁLOGO"/>
    <tableColumn id="2" name="ARTÍCULO">
      <calculatedColumnFormula>IFERROR(INDEX(UNSPSCDes,MATCH(INDIRECT(ADDRESS(ROW(),COLUMN()-1,4)),UNSPSCCode,0)),IF(INDIRECT(ADDRESS(ROW(),COLUMN()-1,4))="90101603","Servicios de cáterin",""))</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10.xml><?xml version="1.0" encoding="utf-8"?>
<table xmlns="http://schemas.openxmlformats.org/spreadsheetml/2006/main" id="110" name="Table3112" displayName="Table3112" ref="A1372:F1373" totalsRowShown="0">
  <autoFilter ref="A1372:F137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1.xml><?xml version="1.0" encoding="utf-8"?>
<table xmlns="http://schemas.openxmlformats.org/spreadsheetml/2006/main" id="111" name="Table3113" displayName="Table3113" ref="A1383:F1384" totalsRowShown="0">
  <autoFilter ref="A1383:F138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2.xml><?xml version="1.0" encoding="utf-8"?>
<table xmlns="http://schemas.openxmlformats.org/spreadsheetml/2006/main" id="112" name="Table3114" displayName="Table3114" ref="A1394:F1410" totalsRowShown="0">
  <autoFilter ref="A1394:F141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3.xml><?xml version="1.0" encoding="utf-8"?>
<table xmlns="http://schemas.openxmlformats.org/spreadsheetml/2006/main" id="113" name="Table3115" displayName="Table3115" ref="A1420:F1422" totalsRowShown="0">
  <autoFilter ref="A1420:F142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4.xml><?xml version="1.0" encoding="utf-8"?>
<table xmlns="http://schemas.openxmlformats.org/spreadsheetml/2006/main" id="114" name="Table3116" displayName="Table3116" ref="A1432:F1436" totalsRowShown="0">
  <autoFilter ref="A1432:F143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5.xml><?xml version="1.0" encoding="utf-8"?>
<table xmlns="http://schemas.openxmlformats.org/spreadsheetml/2006/main" id="115" name="Table3117" displayName="Table3117" ref="A1446:F1452" totalsRowShown="0">
  <autoFilter ref="A1446:F145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6.xml><?xml version="1.0" encoding="utf-8"?>
<table xmlns="http://schemas.openxmlformats.org/spreadsheetml/2006/main" id="116" name="Table3118" displayName="Table3118" ref="A1462:F1465" totalsRowShown="0">
  <autoFilter ref="A1462:F146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7.xml><?xml version="1.0" encoding="utf-8"?>
<table xmlns="http://schemas.openxmlformats.org/spreadsheetml/2006/main" id="117" name="Table3119" displayName="Table3119" ref="A1475:F1477" totalsRowShown="0">
  <autoFilter ref="A1475:F147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8.xml><?xml version="1.0" encoding="utf-8"?>
<table xmlns="http://schemas.openxmlformats.org/spreadsheetml/2006/main" id="118" name="Table3120" displayName="Table3120" ref="A1487:F1496" totalsRowShown="0">
  <autoFilter ref="A1487:F149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9.xml><?xml version="1.0" encoding="utf-8"?>
<table xmlns="http://schemas.openxmlformats.org/spreadsheetml/2006/main" id="119" name="Table3121" displayName="Table3121" ref="A1506:F1507" totalsRowShown="0">
  <autoFilter ref="A1506:F150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2" name="Table8" displayName="Table8" ref="A89:F93"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20.xml><?xml version="1.0" encoding="utf-8"?>
<table xmlns="http://schemas.openxmlformats.org/spreadsheetml/2006/main" id="120" name="Table3122" displayName="Table3122" ref="A1517:F1518" totalsRowShown="0">
  <autoFilter ref="A1517:F151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1.xml><?xml version="1.0" encoding="utf-8"?>
<table xmlns="http://schemas.openxmlformats.org/spreadsheetml/2006/main" id="121" name="Table3123" displayName="Table3123" ref="A1528:F1544" totalsRowShown="0">
  <autoFilter ref="A1528:F154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2.xml><?xml version="1.0" encoding="utf-8"?>
<table xmlns="http://schemas.openxmlformats.org/spreadsheetml/2006/main" id="122" name="Table3124" displayName="Table3124" ref="A1554:F1564" totalsRowShown="0">
  <autoFilter ref="A1554:F156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3.xml><?xml version="1.0" encoding="utf-8"?>
<table xmlns="http://schemas.openxmlformats.org/spreadsheetml/2006/main" id="123" name="Table3125" displayName="Table3125" ref="A1574:F1578" totalsRowShown="0">
  <autoFilter ref="A1574:F157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4.xml><?xml version="1.0" encoding="utf-8"?>
<table xmlns="http://schemas.openxmlformats.org/spreadsheetml/2006/main" id="124" name="Table3126" displayName="Table3126" ref="A1588:F1590" totalsRowShown="0">
  <autoFilter ref="A1588:F159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5.xml><?xml version="1.0" encoding="utf-8"?>
<table xmlns="http://schemas.openxmlformats.org/spreadsheetml/2006/main" id="125" name="Table3127" displayName="Table3127" ref="A1600:F1604" totalsRowShown="0">
  <autoFilter ref="A1600:F160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6.xml><?xml version="1.0" encoding="utf-8"?>
<table xmlns="http://schemas.openxmlformats.org/spreadsheetml/2006/main" id="126" name="Table3128" displayName="Table3128" ref="A1614:F1617" totalsRowShown="0">
  <autoFilter ref="A1614:F161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7.xml><?xml version="1.0" encoding="utf-8"?>
<table xmlns="http://schemas.openxmlformats.org/spreadsheetml/2006/main" id="127" name="Table3129" displayName="Table3129" ref="A1627:F1628" totalsRowShown="0">
  <autoFilter ref="A1627:F162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8.xml><?xml version="1.0" encoding="utf-8"?>
<table xmlns="http://schemas.openxmlformats.org/spreadsheetml/2006/main" id="128" name="Table3130" displayName="Table3130" ref="A1638:F1639" totalsRowShown="0">
  <autoFilter ref="A1638:F16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9.xml><?xml version="1.0" encoding="utf-8"?>
<table xmlns="http://schemas.openxmlformats.org/spreadsheetml/2006/main" id="129" name="Table3131" displayName="Table3131" ref="A1649:F1650" totalsRowShown="0">
  <autoFilter ref="A1649:F165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13" name="Table66" displayName="Table66" ref="A797:F798" totalsRowShown="0">
  <tableColumns count="6">
    <tableColumn id="1" name="CÓDIGO CATÁLOGO"/>
    <tableColumn id="2" name="ARTÍCULO">
      <calculatedColumnFormula>IFERROR(INDEX(UNSPSCDes,MATCH(INDIRECT(ADDRESS(ROW(),COLUMN()-1,4)),UNSPSCCode,0)),IF(INDIRECT(ADDRESS(ROW(),COLUMN()-1,4))="90121502","Agencias de viajes",""))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30.xml><?xml version="1.0" encoding="utf-8"?>
<table xmlns="http://schemas.openxmlformats.org/spreadsheetml/2006/main" id="130" name="Table3132" displayName="Table3132" ref="A1660:F1661" totalsRowShown="0">
  <autoFilter ref="A1660:F166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1.xml><?xml version="1.0" encoding="utf-8"?>
<table xmlns="http://schemas.openxmlformats.org/spreadsheetml/2006/main" id="131" name="Table3133" displayName="Table3133" ref="A1671:F1672" totalsRowShown="0">
  <autoFilter ref="A1671:F167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2.xml><?xml version="1.0" encoding="utf-8"?>
<table xmlns="http://schemas.openxmlformats.org/spreadsheetml/2006/main" id="132" name="Table3134" displayName="Table3134" ref="A1682:F1683" totalsRowShown="0">
  <autoFilter ref="A1682:F168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3.xml><?xml version="1.0" encoding="utf-8"?>
<table xmlns="http://schemas.openxmlformats.org/spreadsheetml/2006/main" id="133" name="Table3135" displayName="Table3135" ref="A1693:F1694" totalsRowShown="0">
  <autoFilter ref="A1693:F169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4.xml><?xml version="1.0" encoding="utf-8"?>
<table xmlns="http://schemas.openxmlformats.org/spreadsheetml/2006/main" id="134" name="Table3136" displayName="Table3136" ref="A1704:F1705" totalsRowShown="0">
  <autoFilter ref="A1704:F170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5.xml><?xml version="1.0" encoding="utf-8"?>
<table xmlns="http://schemas.openxmlformats.org/spreadsheetml/2006/main" id="135" name="Table3137" displayName="Table3137" ref="A1715:F1716" totalsRowShown="0">
  <autoFilter ref="A1715:F171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6.xml><?xml version="1.0" encoding="utf-8"?>
<table xmlns="http://schemas.openxmlformats.org/spreadsheetml/2006/main" id="136" name="Table3138" displayName="Table3138" ref="A1726:F1727" totalsRowShown="0">
  <autoFilter ref="A1726:F172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7.xml><?xml version="1.0" encoding="utf-8"?>
<table xmlns="http://schemas.openxmlformats.org/spreadsheetml/2006/main" id="137" name="Table3139" displayName="Table3139" ref="A1737:F1739" totalsRowShown="0">
  <autoFilter ref="A1737:F17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8.xml><?xml version="1.0" encoding="utf-8"?>
<table xmlns="http://schemas.openxmlformats.org/spreadsheetml/2006/main" id="138" name="Table3140" displayName="Table3140" ref="A1749:F1750" totalsRowShown="0">
  <autoFilter ref="A1749:F175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9.xml><?xml version="1.0" encoding="utf-8"?>
<table xmlns="http://schemas.openxmlformats.org/spreadsheetml/2006/main" id="139" name="Table3141" displayName="Table3141" ref="A1760:F1761" totalsRowShown="0">
  <autoFilter ref="A1760:F176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4" name="Table58" displayName="Table58" ref="A708:F709" totalsRowShown="0">
  <tableColumns count="6">
    <tableColumn id="1" name="CÓDIGO CATÁLOGO"/>
    <tableColumn id="2" name="ARTÍCULO">
      <calculatedColumnFormula>IFERROR(INDEX(UNSPSCDes,MATCH(INDIRECT(ADDRESS(ROW(),COLUMN()-1,4)),UNSPSCCode,0)),IF(INDIRECT(ADDRESS(ROW(),COLUMN()-1,4))="86101808","Servicios de formación de recursos humanos para el sector  público",""))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40.xml><?xml version="1.0" encoding="utf-8"?>
<table xmlns="http://schemas.openxmlformats.org/spreadsheetml/2006/main" id="140" name="Table3142" displayName="Table3142" ref="A1771:F1772" totalsRowShown="0">
  <autoFilter ref="A1771:F177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1.xml><?xml version="1.0" encoding="utf-8"?>
<table xmlns="http://schemas.openxmlformats.org/spreadsheetml/2006/main" id="141" name="Table3143" displayName="Table3143" ref="A1782:F1783" totalsRowShown="0">
  <autoFilter ref="A1782:F1783"/>
  <tableColumns count="6">
    <tableColumn id="1" name="CÓDIGO CATÁLOGO" dataDxfId="1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2.xml><?xml version="1.0" encoding="utf-8"?>
<table xmlns="http://schemas.openxmlformats.org/spreadsheetml/2006/main" id="142" name="Table3144" displayName="Table3144" ref="A1793:F1794" totalsRowShown="0">
  <autoFilter ref="A1793:F1794"/>
  <tableColumns count="6">
    <tableColumn id="1" name="CÓDIGO CATÁLOGO" dataDxfId="1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3.xml><?xml version="1.0" encoding="utf-8"?>
<table xmlns="http://schemas.openxmlformats.org/spreadsheetml/2006/main" id="143" name="Table3145" displayName="Table3145" ref="A1804:F1805" totalsRowShown="0">
  <autoFilter ref="A1804:F1805"/>
  <tableColumns count="6">
    <tableColumn id="1" name="CÓDIGO CATÁLOGO" dataDxfId="1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4.xml><?xml version="1.0" encoding="utf-8"?>
<table xmlns="http://schemas.openxmlformats.org/spreadsheetml/2006/main" id="144" name="Table3146" displayName="Table3146" ref="A1815:F1816" totalsRowShown="0">
  <autoFilter ref="A1815:F1816"/>
  <tableColumns count="6">
    <tableColumn id="1" name="CÓDIGO CATÁLOGO" dataDxfId="1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5.xml><?xml version="1.0" encoding="utf-8"?>
<table xmlns="http://schemas.openxmlformats.org/spreadsheetml/2006/main" id="145" name="Table3147" displayName="Table3147" ref="A1826:F1827" totalsRowShown="0">
  <autoFilter ref="A1826:F1827"/>
  <tableColumns count="6">
    <tableColumn id="1" name="CÓDIGO CATÁLOGO" dataDxfId="1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6.xml><?xml version="1.0" encoding="utf-8"?>
<table xmlns="http://schemas.openxmlformats.org/spreadsheetml/2006/main" id="146" name="Table3148" displayName="Table3148" ref="A1837:F1838" totalsRowShown="0">
  <autoFilter ref="A1837:F1838"/>
  <tableColumns count="6">
    <tableColumn id="1" name="CÓDIGO CATÁLOGO" dataDxfId="9"/>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7.xml><?xml version="1.0" encoding="utf-8"?>
<table xmlns="http://schemas.openxmlformats.org/spreadsheetml/2006/main" id="147" name="Table3149" displayName="Table3149" ref="A1848:F1849" totalsRowShown="0">
  <autoFilter ref="A1848:F1849"/>
  <tableColumns count="6">
    <tableColumn id="1" name="CÓDIGO CATÁLOGO" dataDxfId="8"/>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8.xml><?xml version="1.0" encoding="utf-8"?>
<table xmlns="http://schemas.openxmlformats.org/spreadsheetml/2006/main" id="148" name="Table3150" displayName="Table3150" ref="A1859:F1860" totalsRowShown="0">
  <autoFilter ref="A1859:F1860"/>
  <tableColumns count="6">
    <tableColumn id="1" name="CÓDIGO CATÁLOGO" dataDxfId="7"/>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9.xml><?xml version="1.0" encoding="utf-8"?>
<table xmlns="http://schemas.openxmlformats.org/spreadsheetml/2006/main" id="149" name="Table3151" displayName="Table3151" ref="A1870:F1871" totalsRowShown="0">
  <autoFilter ref="A1870:F1871"/>
  <tableColumns count="6">
    <tableColumn id="1" name="CÓDIGO CATÁLOGO" dataDxfId="6"/>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15" name="Table20" displayName="Table20" ref="A244:F245" totalsRowShown="0">
  <tableColumns count="6">
    <tableColumn id="1" name="CÓDIGO CATÁLOGO"/>
    <tableColumn id="2" name="ARTÍCULO">
      <calculatedColumnFormula>IFERROR(INDEX(UNSPSCDes,MATCH(INDIRECT(ADDRESS(ROW(),COLUMN()-1,4)),UNSPSCCode,0)),IF(INDIRECT(ADDRESS(ROW(),COLUMN()-1,4))="43231512","Software de manejo de licencias",""))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50.xml><?xml version="1.0" encoding="utf-8"?>
<table xmlns="http://schemas.openxmlformats.org/spreadsheetml/2006/main" id="150" name="Table3152" displayName="Table3152" ref="A1881:F1882" totalsRowShown="0">
  <autoFilter ref="A1881:F1882"/>
  <tableColumns count="6">
    <tableColumn id="1" name="CÓDIGO CATÁLOGO" dataDxfId="5"/>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1.xml><?xml version="1.0" encoding="utf-8"?>
<table xmlns="http://schemas.openxmlformats.org/spreadsheetml/2006/main" id="151" name="Table3153" displayName="Table3153" ref="A1892:F1893" totalsRowShown="0">
  <autoFilter ref="A1892:F1893"/>
  <tableColumns count="6">
    <tableColumn id="1" name="CÓDIGO CATÁLOGO" dataDxfId="4"/>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2.xml><?xml version="1.0" encoding="utf-8"?>
<table xmlns="http://schemas.openxmlformats.org/spreadsheetml/2006/main" id="152" name="Table3154" displayName="Table3154" ref="A1903:F1904" totalsRowShown="0">
  <autoFilter ref="A1903:F1904"/>
  <tableColumns count="6">
    <tableColumn id="1" name="CÓDIGO CATÁLOGO" dataDxfId="3"/>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3.xml><?xml version="1.0" encoding="utf-8"?>
<table xmlns="http://schemas.openxmlformats.org/spreadsheetml/2006/main" id="153" name="Table3155" displayName="Table3155" ref="A1914:F1915" totalsRowShown="0">
  <autoFilter ref="A1914:F1915"/>
  <tableColumns count="6">
    <tableColumn id="1" name="CÓDIGO CATÁLOGO" dataDxfId="2"/>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4.xml><?xml version="1.0" encoding="utf-8"?>
<table xmlns="http://schemas.openxmlformats.org/spreadsheetml/2006/main" id="154" name="Table3156" displayName="Table3156" ref="A1925:F1926" totalsRowShown="0">
  <autoFilter ref="A1925:F1926"/>
  <tableColumns count="6">
    <tableColumn id="1" name="CÓDIGO CATÁLOGO" dataDxfId="1"/>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5.xml><?xml version="1.0" encoding="utf-8"?>
<table xmlns="http://schemas.openxmlformats.org/spreadsheetml/2006/main" id="155" name="Table3157" displayName="Table3157" ref="A1936:F1937" totalsRowShown="0">
  <autoFilter ref="A1936:F1937"/>
  <tableColumns count="6">
    <tableColumn id="1" name="CÓDIGO CATÁLOGO" dataDxfId="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16" name="Table42" displayName="Table42" ref="A532:F533"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7.xml><?xml version="1.0" encoding="utf-8"?>
<table xmlns="http://schemas.openxmlformats.org/spreadsheetml/2006/main" id="17" name="Table53" displayName="Table53" ref="A653:F654" totalsRowShown="0">
  <tableColumns count="6">
    <tableColumn id="1" name="CÓDIGO CATÁLOGO"/>
    <tableColumn id="2" name="ARTÍCULO">
      <calculatedColumnFormula>IFERROR(INDEX(UNSPSCDes,MATCH(INDIRECT(ADDRESS(ROW(),COLUMN()-1,4)),UNSPSCCode,0)),IF(INDIRECT(ADDRESS(ROW(),COLUMN()-1,4))="45111609","Proyectores multimedia",""))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8.xml><?xml version="1.0" encoding="utf-8"?>
<table xmlns="http://schemas.openxmlformats.org/spreadsheetml/2006/main" id="18" name="Table4" displayName="Table4" ref="A22:F26"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9.xml><?xml version="1.0" encoding="utf-8"?>
<table xmlns="http://schemas.openxmlformats.org/spreadsheetml/2006/main" id="19" name="Table5" displayName="Table5" ref="A36:F51" totalsRowShown="0">
  <tableColumns count="6">
    <tableColumn id="1" name="CÓDIGO CATÁLOGO"/>
    <tableColumn id="2" name="ARTÍCULO">
      <calculatedColumnFormula>IFERROR(INDEX(UNSPSCDes,MATCH(INDIRECT(ADDRESS(ROW(),COLUMN()-1,4)),UNSPSCCode,0)),IF(INDIRECT(ADDRESS(ROW(),COLUMN()-1,4))="14111507","Papel para impresora o fotocopiadora",""))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xml><?xml version="1.0" encoding="utf-8"?>
<table xmlns="http://schemas.openxmlformats.org/spreadsheetml/2006/main" id="2" name="Table63" displayName="Table63" ref="A764:F765" totalsRowShown="0">
  <tableColumns count="6">
    <tableColumn id="1" name="CÓDIGO CATÁLOGO"/>
    <tableColumn id="2" name="ARTÍCULO">
      <calculatedColumnFormula>IFERROR(INDEX(UNSPSCDes,MATCH(INDIRECT(ADDRESS(ROW(),COLUMN()-1,4)),UNSPSCCode,0)),IF(INDIRECT(ADDRESS(ROW(),COLUMN()-1,4))="90121502","Agencias de viajes",""))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id="20" name="Table47" displayName="Table47" ref="A587:F588" totalsRowShown="0">
  <tableColumns count="6">
    <tableColumn id="1" name="CÓDIGO CATÁLOGO"/>
    <tableColumn id="2" name="ARTÍCULO">
      <calculatedColumnFormula>IFERROR(INDEX(UNSPSCDes,MATCH(INDIRECT(ADDRESS(ROW(),COLUMN()-1,4)),UNSPSCCode,0)),IF(INDIRECT(ADDRESS(ROW(),COLUMN()-1,4))="50192701","Comidas combinadas frescas",""))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1.xml><?xml version="1.0" encoding="utf-8"?>
<table xmlns="http://schemas.openxmlformats.org/spreadsheetml/2006/main" id="21" name="Table64" displayName="Table64" ref="A775:F776" totalsRowShown="0">
  <tableColumns count="6">
    <tableColumn id="1" name="CÓDIGO CATÁLOGO"/>
    <tableColumn id="2" name="ARTÍCULO">
      <calculatedColumnFormula>IFERROR(INDEX(UNSPSCDes,MATCH(INDIRECT(ADDRESS(ROW(),COLUMN()-1,4)),UNSPSCCode,0)),IF(INDIRECT(ADDRESS(ROW(),COLUMN()-1,4))="90121502","Agencias de viajes",""))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2.xml><?xml version="1.0" encoding="utf-8"?>
<table xmlns="http://schemas.openxmlformats.org/spreadsheetml/2006/main" id="22" name="Table18" displayName="Table18" ref="A222:F223" totalsRowShown="0">
  <tableColumns count="6">
    <tableColumn id="1" name="CÓDIGO CATÁLOGO"/>
    <tableColumn id="2" name="ARTÍCULO">
      <calculatedColumnFormula>IFERROR(INDEX(UNSPSCDes,MATCH(INDIRECT(ADDRESS(ROW(),COLUMN()-1,4)),UNSPSCCode,0)),IF(INDIRECT(ADDRESS(ROW(),COLUMN()-1,4))="90101603","Servicios de cáterin",""))</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3.xml><?xml version="1.0" encoding="utf-8"?>
<table xmlns="http://schemas.openxmlformats.org/spreadsheetml/2006/main" id="23" name="Table26" displayName="Table26" ref="A339:F340" totalsRowShown="0">
  <tableColumns count="6">
    <tableColumn id="1" name="CÓDIGO CATÁLOGO"/>
    <tableColumn id="2" name="ARTÍCULO">
      <calculatedColumnFormula>IFERROR(INDEX(UNSPSCDes,MATCH(INDIRECT(ADDRESS(ROW(),COLUMN()-1,4)),UNSPSCCode,0)),IF(INDIRECT(ADDRESS(ROW(),COLUMN()-1,4))="40101701","Aires acondicionados",""))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4.xml><?xml version="1.0" encoding="utf-8"?>
<table xmlns="http://schemas.openxmlformats.org/spreadsheetml/2006/main" id="24" name="Table48" displayName="Table48" ref="A598:F599" totalsRowShown="0">
  <tableColumns count="6">
    <tableColumn id="1" name="CÓDIGO CATÁLOGO"/>
    <tableColumn id="2" name="ARTÍCULO">
      <calculatedColumnFormula>IFERROR(INDEX(UNSPSCDes,MATCH(INDIRECT(ADDRESS(ROW(),COLUMN()-1,4)),UNSPSCCode,0)),IF(INDIRECT(ADDRESS(ROW(),COLUMN()-1,4))="50192701","Comidas combinadas frescas",""))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5.xml><?xml version="1.0" encoding="utf-8"?>
<table xmlns="http://schemas.openxmlformats.org/spreadsheetml/2006/main" id="25" name="Table23" displayName="Table23" ref="A277:F282"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6.xml><?xml version="1.0" encoding="utf-8"?>
<table xmlns="http://schemas.openxmlformats.org/spreadsheetml/2006/main" id="26" name="Table91" displayName="Table91" ref="A1072:F1073" totalsRowShown="0">
  <tableColumns count="6">
    <tableColumn id="1" name="CÓDIGO CATÁLOGO"/>
    <tableColumn id="2" name="ARTÍCULO">
      <calculatedColumnFormula>IFERROR(INDEX(UNSPSCDes,MATCH(INDIRECT(ADDRESS(ROW(),COLUMN()-1,4)),UNSPSCCode,0)),IF(INDIRECT(ADDRESS(ROW(),COLUMN()-1,4))="43233415","Software de respaldo o archivo",""))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7.xml><?xml version="1.0" encoding="utf-8"?>
<table xmlns="http://schemas.openxmlformats.org/spreadsheetml/2006/main" id="27" name="Table93" displayName="Table93" ref="A1094:F1095" totalsRowShown="0">
  <tableColumns count="6">
    <tableColumn id="1" name="CÓDIGO CATÁLOGO"/>
    <tableColumn id="2" name="ARTÍCULO">
      <calculatedColumnFormula>IFERROR(INDEX(UNSPSCDes,MATCH(INDIRECT(ADDRESS(ROW(),COLUMN()-1,4)),UNSPSCCode,0)),IF(INDIRECT(ADDRESS(ROW(),COLUMN()-1,4))="43233415","Software de respaldo o archivo",""))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8.xml><?xml version="1.0" encoding="utf-8"?>
<table xmlns="http://schemas.openxmlformats.org/spreadsheetml/2006/main" id="28" name="Table95" displayName="Table95" ref="A1120:F1121" totalsRowShown="0">
  <tableColumns count="6">
    <tableColumn id="1" name="CÓDIGO CATÁLOGO"/>
    <tableColumn id="2" name="ARTÍCULO">
      <calculatedColumnFormula>IFERROR(INDEX(UNSPSCDes,MATCH(INDIRECT(ADDRESS(ROW(),COLUMN()-1,4)),UNSPSCCode,0)),IF(INDIRECT(ADDRESS(ROW(),COLUMN()-1,4))="50202301","Agua",""))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9.xml><?xml version="1.0" encoding="utf-8"?>
<table xmlns="http://schemas.openxmlformats.org/spreadsheetml/2006/main" id="29" name="Table88" displayName="Table88" ref="A1039:F1040" totalsRowShown="0">
  <tableColumns count="6">
    <tableColumn id="1" name="CÓDIGO CATÁLOGO"/>
    <tableColumn id="2" name="ARTÍCULO">
      <calculatedColumnFormula>IFERROR(INDEX(UNSPSCDes,MATCH(INDIRECT(ADDRESS(ROW(),COLUMN()-1,4)),UNSPSCCode,0)),IF(INDIRECT(ADDRESS(ROW(),COLUMN()-1,4))="43233415","Software de respaldo o archivo",""))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xml><?xml version="1.0" encoding="utf-8"?>
<table xmlns="http://schemas.openxmlformats.org/spreadsheetml/2006/main" id="3" name="Table77" displayName="Table77" ref="A918:F919" totalsRowShown="0">
  <tableColumns count="6">
    <tableColumn id="1" name="CÓDIGO CATÁLOGO"/>
    <tableColumn id="2" name="ARTÍCULO">
      <calculatedColumnFormula>IFERROR(INDEX(UNSPSCDes,MATCH(INDIRECT(ADDRESS(ROW(),COLUMN()-1,4)),UNSPSCCode,0)),IF(INDIRECT(ADDRESS(ROW(),COLUMN()-1,4))="46191601","Extintores",""))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id="30" name="Table56" displayName="Table56" ref="A686:F687" totalsRowShown="0">
  <tableColumns count="6">
    <tableColumn id="1" name="CÓDIGO CATÁLOGO"/>
    <tableColumn id="2" name="ARTÍCULO">
      <calculatedColumnFormula>IFERROR(INDEX(UNSPSCDes,MATCH(INDIRECT(ADDRESS(ROW(),COLUMN()-1,4)),UNSPSCCode,0)),IF(INDIRECT(ADDRESS(ROW(),COLUMN()-1,4))="86101808","Servicios de formación de recursos humanos para el sector  público",""))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id="31" name="Table31" displayName="Table31" ref="A397:F400" totalsRowShown="0">
  <tableColumns count="6">
    <tableColumn id="1" name="CÓDIGO CATÁLOGO"/>
    <tableColumn id="2" name="ARTÍCULO">
      <calculatedColumnFormula>IFERROR(INDEX(UNSPSCDes,MATCH(INDIRECT(ADDRESS(ROW(),COLUMN()-1,4)),UNSPSCCode,0)),IF(INDIRECT(ADDRESS(ROW(),COLUMN()-1,4))="56101703","Escritorios",""))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2.xml><?xml version="1.0" encoding="utf-8"?>
<table xmlns="http://schemas.openxmlformats.org/spreadsheetml/2006/main" id="32" name="Table70" displayName="Table70" ref="A841:F842" totalsRowShown="0">
  <tableColumns count="6">
    <tableColumn id="1" name="CÓDIGO CATÁLOGO"/>
    <tableColumn id="2" name="ARTÍCULO">
      <calculatedColumnFormula>IFERROR(INDEX(UNSPSCDes,MATCH(INDIRECT(ADDRESS(ROW(),COLUMN()-1,4)),UNSPSCCode,0)),IF(INDIRECT(ADDRESS(ROW(),COLUMN()-1,4))="90101603","Servicios de cáterin",""))</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3.xml><?xml version="1.0" encoding="utf-8"?>
<table xmlns="http://schemas.openxmlformats.org/spreadsheetml/2006/main" id="33" name="Table37" displayName="Table37" ref="A472:F473" totalsRowShown="0">
  <tableColumns count="6">
    <tableColumn id="1" name="CÓDIGO CATÁLOGO"/>
    <tableColumn id="2" name="ARTÍCULO">
      <calculatedColumnFormula>IFERROR(INDEX(UNSPSCDes,MATCH(INDIRECT(ADDRESS(ROW(),COLUMN()-1,4)),UNSPSCCode,0)),IF(INDIRECT(ADDRESS(ROW(),COLUMN()-1,4))="43231512","Software de manejo de licencias",""))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4.xml><?xml version="1.0" encoding="utf-8"?>
<table xmlns="http://schemas.openxmlformats.org/spreadsheetml/2006/main" id="34" name="Table7" displayName="Table7" ref="A75:F79"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5.xml><?xml version="1.0" encoding="utf-8"?>
<table xmlns="http://schemas.openxmlformats.org/spreadsheetml/2006/main" id="35" name="Table14" displayName="Table14" ref="A175:F179"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6.xml><?xml version="1.0" encoding="utf-8"?>
<table xmlns="http://schemas.openxmlformats.org/spreadsheetml/2006/main" id="36" name="Table83" displayName="Table83" ref="A984:F985" totalsRowShown="0">
  <tableColumns count="6">
    <tableColumn id="1" name="CÓDIGO CATÁLOGO"/>
    <tableColumn id="2" name="ARTÍCULO">
      <calculatedColumnFormula>IFERROR(INDEX(UNSPSCDes,MATCH(INDIRECT(ADDRESS(ROW(),COLUMN()-1,4)),UNSPSCCode,0)),IF(INDIRECT(ADDRESS(ROW(),COLUMN()-1,4))="52141510","Aire acondicionado portátil para uso doméstico",""))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7.xml><?xml version="1.0" encoding="utf-8"?>
<table xmlns="http://schemas.openxmlformats.org/spreadsheetml/2006/main" id="37" name="Table28" displayName="Table28" ref="A361:F362" totalsRowShown="0">
  <tableColumns count="6">
    <tableColumn id="1" name="CÓDIGO CATÁLOGO"/>
    <tableColumn id="2" name="ARTÍCULO">
      <calculatedColumnFormula>IFERROR(INDEX(UNSPSCDes,MATCH(INDIRECT(ADDRESS(ROW(),COLUMN()-1,4)),UNSPSCCode,0)),IF(INDIRECT(ADDRESS(ROW(),COLUMN()-1,4))="83101804","Servicios de transmisión de energía eléctrica",""))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8.xml><?xml version="1.0" encoding="utf-8"?>
<table xmlns="http://schemas.openxmlformats.org/spreadsheetml/2006/main" id="38" name="Table71" displayName="Table71" ref="A852:F853" totalsRowShown="0">
  <tableColumns count="6">
    <tableColumn id="1" name="CÓDIGO CATÁLOGO"/>
    <tableColumn id="2" name="ARTÍCULO">
      <calculatedColumnFormula>IFERROR(INDEX(UNSPSCDes,MATCH(INDIRECT(ADDRESS(ROW(),COLUMN()-1,4)),UNSPSCCode,0)),IF(INDIRECT(ADDRESS(ROW(),COLUMN()-1,4))="30222507","Hotel",""))</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9.xml><?xml version="1.0" encoding="utf-8"?>
<table xmlns="http://schemas.openxmlformats.org/spreadsheetml/2006/main" id="39" name="Table75" displayName="Table75" ref="A896:F897" totalsRowShown="0">
  <tableColumns count="6">
    <tableColumn id="1" name="CÓDIGO CATÁLOGO"/>
    <tableColumn id="2" name="ARTÍCULO">
      <calculatedColumnFormula>IFERROR(INDEX(UNSPSCDes,MATCH(INDIRECT(ADDRESS(ROW(),COLUMN()-1,4)),UNSPSCCode,0)),IF(INDIRECT(ADDRESS(ROW(),COLUMN()-1,4))="14111511","Papel de escritura",""))</calculatedColumnFormula>
    </tableColumn>
    <tableColumn id="3" name="UNIDAD DE MEDIDA">
      <calculatedColumnFormula>IFERROR(VLOOKUP("RESMA",'[1]Informacion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id="4" name="Table60" displayName="Table60" ref="A730:F732" totalsRowShown="0">
  <tableColumns count="6">
    <tableColumn id="1" name="CÓDIGO CATÁLOGO"/>
    <tableColumn id="2" name="ARTÍCULO">
      <calculatedColumnFormula>IFERROR(INDEX(UNSPSCDes,MATCH(INDIRECT(ADDRESS(ROW(),COLUMN()-1,4)),UNSPSCCode,0)),IF(INDIRECT(ADDRESS(ROW(),COLUMN()-1,4))="86101808","Servicios de formación de recursos humanos para el sector  público",""))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0.xml><?xml version="1.0" encoding="utf-8"?>
<table xmlns="http://schemas.openxmlformats.org/spreadsheetml/2006/main" id="40" name="Table24" displayName="Table24" ref="A292:F318"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1.xml><?xml version="1.0" encoding="utf-8"?>
<table xmlns="http://schemas.openxmlformats.org/spreadsheetml/2006/main" id="41" name="Table68" displayName="Table68" ref="A819:F820" totalsRowShown="0">
  <tableColumns count="6">
    <tableColumn id="1" name="CÓDIGO CATÁLOGO"/>
    <tableColumn id="2" name="ARTÍCULO">
      <calculatedColumnFormula>IFERROR(INDEX(UNSPSCDes,MATCH(INDIRECT(ADDRESS(ROW(),COLUMN()-1,4)),UNSPSCCode,0)),IF(INDIRECT(ADDRESS(ROW(),COLUMN()-1,4))="90101603","Servicios de cáterin",""))</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id="42" name="Table51" displayName="Table51" ref="A631:F632" totalsRowShown="0">
  <tableColumns count="6">
    <tableColumn id="1" name="CÓDIGO CATÁLOGO"/>
    <tableColumn id="2" name="ARTÍCULO">
      <calculatedColumnFormula>IFERROR(INDEX(UNSPSCDes,MATCH(INDIRECT(ADDRESS(ROW(),COLUMN()-1,4)),UNSPSCCode,0)),IF(INDIRECT(ADDRESS(ROW(),COLUMN()-1,4))="26121607","Cable de fibra óptica",""))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3.xml><?xml version="1.0" encoding="utf-8"?>
<table xmlns="http://schemas.openxmlformats.org/spreadsheetml/2006/main" id="43" name="Table94" displayName="Table94" ref="A1105:F1110" totalsRowShown="0">
  <tableColumns count="6">
    <tableColumn id="1" name="CÓDIGO CATÁLOGO"/>
    <tableColumn id="2" name="ARTÍCULO">
      <calculatedColumnFormula>IFERROR(INDEX(UNSPSCDes,MATCH(INDIRECT(ADDRESS(ROW(),COLUMN()-1,4)),UNSPSCCode,0)),IF(INDIRECT(ADDRESS(ROW(),COLUMN()-1,4))="50161509","Azucares naturales o productos endulzantes",""))</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4.xml><?xml version="1.0" encoding="utf-8"?>
<table xmlns="http://schemas.openxmlformats.org/spreadsheetml/2006/main" id="44" name="Table43" displayName="Table43" ref="A543:F544" totalsRowShown="0">
  <tableColumns count="6">
    <tableColumn id="1" name="CÓDIGO CATÁLOGO"/>
    <tableColumn id="2" name="ARTÍCULO">
      <calculatedColumnFormula>IFERROR(INDEX(UNSPSCDes,MATCH(INDIRECT(ADDRESS(ROW(),COLUMN()-1,4)),UNSPSCCode,0)),IF(INDIRECT(ADDRESS(ROW(),COLUMN()-1,4))="50192701","Comidas combinadas frescas",""))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5.xml><?xml version="1.0" encoding="utf-8"?>
<table xmlns="http://schemas.openxmlformats.org/spreadsheetml/2006/main" id="45" name="Table10" displayName="Table10" ref="A117:F123"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6.xml><?xml version="1.0" encoding="utf-8"?>
<table xmlns="http://schemas.openxmlformats.org/spreadsheetml/2006/main" id="46" name="Table13" displayName="Table13" ref="A161:F165"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7.xml><?xml version="1.0" encoding="utf-8"?>
<table xmlns="http://schemas.openxmlformats.org/spreadsheetml/2006/main" id="47" name="Table76" displayName="Table76" ref="A907:F908" totalsRowShown="0">
  <tableColumns count="6">
    <tableColumn id="1" name="CÓDIGO CATÁLOGO"/>
    <tableColumn id="2" name="ARTÍCULO">
      <calculatedColumnFormula>IFERROR(INDEX(UNSPSCDes,MATCH(INDIRECT(ADDRESS(ROW(),COLUMN()-1,4)),UNSPSCCode,0)),IF(INDIRECT(ADDRESS(ROW(),COLUMN()-1,4))="14111511","Papel de escritura",""))</calculatedColumnFormula>
    </tableColumn>
    <tableColumn id="3" name="UNIDAD DE MEDIDA">
      <calculatedColumnFormula>IFERROR(VLOOKUP("RESMA",'[1]Informacion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8.xml><?xml version="1.0" encoding="utf-8"?>
<table xmlns="http://schemas.openxmlformats.org/spreadsheetml/2006/main" id="48" name="Table85" displayName="Table85" ref="A1006:F1007" totalsRowShown="0">
  <tableColumns count="6">
    <tableColumn id="1" name="CÓDIGO CATÁLOGO"/>
    <tableColumn id="2" name="ARTÍCULO">
      <calculatedColumnFormula>IFERROR(INDEX(UNSPSCDes,MATCH(INDIRECT(ADDRESS(ROW(),COLUMN()-1,4)),UNSPSCCode,0)),IF(INDIRECT(ADDRESS(ROW(),COLUMN()-1,4))="43221504","Central telefónica interna pbx",""))</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9.xml><?xml version="1.0" encoding="utf-8"?>
<table xmlns="http://schemas.openxmlformats.org/spreadsheetml/2006/main" id="49" name="Table92" displayName="Table92" ref="A1083:F1084" totalsRowShown="0">
  <tableColumns count="6">
    <tableColumn id="1" name="CÓDIGO CATÁLOGO"/>
    <tableColumn id="2" name="ARTÍCULO">
      <calculatedColumnFormula>IFERROR(INDEX(UNSPSCDes,MATCH(INDIRECT(ADDRESS(ROW(),COLUMN()-1,4)),UNSPSCCode,0)),IF(INDIRECT(ADDRESS(ROW(),COLUMN()-1,4))="43233415","Software de respaldo o archivo",""))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id="5" name="Table39" displayName="Table39" ref="A494:F495" totalsRowShown="0">
  <tableColumns count="6">
    <tableColumn id="1" name="CÓDIGO CATÁLOGO"/>
    <tableColumn id="2" name="ARTÍCULO">
      <calculatedColumnFormula>IFERROR(INDEX(UNSPSCDes,MATCH(INDIRECT(ADDRESS(ROW(),COLUMN()-1,4)),UNSPSCCode,0)),IF(INDIRECT(ADDRESS(ROW(),COLUMN()-1,4))="49101705","Certificados",""))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0.xml><?xml version="1.0" encoding="utf-8"?>
<table xmlns="http://schemas.openxmlformats.org/spreadsheetml/2006/main" id="50" name="Table44" displayName="Table44" ref="A554:F555" totalsRowShown="0">
  <tableColumns count="6">
    <tableColumn id="1" name="CÓDIGO CATÁLOGO"/>
    <tableColumn id="2" name="ARTÍCULO">
      <calculatedColumnFormula>IFERROR(INDEX(UNSPSCDes,MATCH(INDIRECT(ADDRESS(ROW(),COLUMN()-1,4)),UNSPSCCode,0)),IF(INDIRECT(ADDRESS(ROW(),COLUMN()-1,4))="50192701","Comidas combinadas frescas",""))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1.xml><?xml version="1.0" encoding="utf-8"?>
<table xmlns="http://schemas.openxmlformats.org/spreadsheetml/2006/main" id="51" name="Table97" displayName="Table97" ref="A1143:F1146" totalsRowShown="0">
  <tableColumns count="6">
    <tableColumn id="1" name="CÓDIGO CATÁLOGO"/>
    <tableColumn id="2" name="ARTÍCULO">
      <calculatedColumnFormula>IFERROR(INDEX(UNSPSCDes,MATCH(INDIRECT(ADDRESS(ROW(),COLUMN()-1,4)),UNSPSCCode,0)),IF(INDIRECT(ADDRESS(ROW(),COLUMN()-1,4))="14111511","Papel de escritura",""))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2.xml><?xml version="1.0" encoding="utf-8"?>
<table xmlns="http://schemas.openxmlformats.org/spreadsheetml/2006/main" id="52" name="Table99" displayName="Table99" ref="A1179:F1194"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3.xml><?xml version="1.0" encoding="utf-8"?>
<table xmlns="http://schemas.openxmlformats.org/spreadsheetml/2006/main" id="53" name="Table45" displayName="Table45" ref="A565:F566" totalsRowShown="0">
  <tableColumns count="6">
    <tableColumn id="1" name="CÓDIGO CATÁLOGO"/>
    <tableColumn id="2" name="ARTÍCULO">
      <calculatedColumnFormula>IFERROR(INDEX(UNSPSCDes,MATCH(INDIRECT(ADDRESS(ROW(),COLUMN()-1,4)),UNSPSCCode,0)),IF(INDIRECT(ADDRESS(ROW(),COLUMN()-1,4))="50192701","Comidas combinadas frescas",""))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4.xml><?xml version="1.0" encoding="utf-8"?>
<table xmlns="http://schemas.openxmlformats.org/spreadsheetml/2006/main" id="54" name="Table86" displayName="Table86" ref="A1017:F1018" totalsRowShown="0">
  <tableColumns count="6">
    <tableColumn id="1" name="CÓDIGO CATÁLOGO"/>
    <tableColumn id="2" name="ARTÍCULO">
      <calculatedColumnFormula>IFERROR(INDEX(UNSPSCDes,MATCH(INDIRECT(ADDRESS(ROW(),COLUMN()-1,4)),UNSPSCCode,0)),IF(INDIRECT(ADDRESS(ROW(),COLUMN()-1,4))="43233415","Software de respaldo o archivo",""))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5.xml><?xml version="1.0" encoding="utf-8"?>
<table xmlns="http://schemas.openxmlformats.org/spreadsheetml/2006/main" id="55" name="Table55" displayName="Table55" ref="A675:F676" totalsRowShown="0">
  <tableColumns count="6">
    <tableColumn id="1" name="CÓDIGO CATÁLOGO"/>
    <tableColumn id="2" name="ARTÍCULO">
      <calculatedColumnFormula>IFERROR(INDEX(UNSPSCDes,MATCH(INDIRECT(ADDRESS(ROW(),COLUMN()-1,4)),UNSPSCCode,0)),IF(INDIRECT(ADDRESS(ROW(),COLUMN()-1,4))="50192701","Comidas combinadas frescas",""))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6.xml><?xml version="1.0" encoding="utf-8"?>
<table xmlns="http://schemas.openxmlformats.org/spreadsheetml/2006/main" id="56" name="Table72" displayName="Table72" ref="A863:F864" totalsRowShown="0">
  <tableColumns count="6">
    <tableColumn id="1" name="CÓDIGO CATÁLOGO"/>
    <tableColumn id="2" name="ARTÍCULO">
      <calculatedColumnFormula>IFERROR(INDEX(UNSPSCDes,MATCH(INDIRECT(ADDRESS(ROW(),COLUMN()-1,4)),UNSPSCCode,0)),IF(INDIRECT(ADDRESS(ROW(),COLUMN()-1,4))="90101603","Servicios de cáterin",""))</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7.xml><?xml version="1.0" encoding="utf-8"?>
<table xmlns="http://schemas.openxmlformats.org/spreadsheetml/2006/main" id="57" name="Table34" displayName="Table34" ref="A437:F438" totalsRowShown="0">
  <tableColumns count="6">
    <tableColumn id="1" name="CÓDIGO CATÁLOGO"/>
    <tableColumn id="2" name="ARTÍCULO">
      <calculatedColumnFormula>IFERROR(INDEX(UNSPSCDes,MATCH(INDIRECT(ADDRESS(ROW(),COLUMN()-1,4)),UNSPSCCode,0)),IF(INDIRECT(ADDRESS(ROW(),COLUMN()-1,4))="82101504","Publicidad en periódicos",""))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8.xml><?xml version="1.0" encoding="utf-8"?>
<table xmlns="http://schemas.openxmlformats.org/spreadsheetml/2006/main" id="58" name="Table84" displayName="Table84" ref="A995:F996" totalsRowShown="0">
  <tableColumns count="6">
    <tableColumn id="1" name="CÓDIGO CATÁLOGO"/>
    <tableColumn id="2" name="ARTÍCULO">
      <calculatedColumnFormula>IFERROR(INDEX(UNSPSCDes,MATCH(INDIRECT(ADDRESS(ROW(),COLUMN()-1,4)),UNSPSCCode,0)),IF(INDIRECT(ADDRESS(ROW(),COLUMN()-1,4))="25101501","Minibuses",""))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9.xml><?xml version="1.0" encoding="utf-8"?>
<table xmlns="http://schemas.openxmlformats.org/spreadsheetml/2006/main" id="59" name="Table80" displayName="Table80" ref="A951:F952" totalsRowShown="0">
  <tableColumns count="6">
    <tableColumn id="1" name="CÓDIGO CATÁLOGO"/>
    <tableColumn id="2" name="ARTÍCULO">
      <calculatedColumnFormula>IFERROR(INDEX(UNSPSCDes,MATCH(INDIRECT(ADDRESS(ROW(),COLUMN()-1,4)),UNSPSCCode,0)),IF(INDIRECT(ADDRESS(ROW(),COLUMN()-1,4))="52141502","Hornos microondas para uso doméstico",""))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id="6" name="Table81" displayName="Table81" ref="A962:F963" totalsRowShown="0">
  <tableColumns count="6">
    <tableColumn id="1" name="CÓDIGO CATÁLOGO"/>
    <tableColumn id="2" name="ARTÍCULO">
      <calculatedColumnFormula>IFERROR(INDEX(UNSPSCDes,MATCH(INDIRECT(ADDRESS(ROW(),COLUMN()-1,4)),UNSPSCCode,0)),IF(INDIRECT(ADDRESS(ROW(),COLUMN()-1,4))="26111601","Generadores diesel",""))</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0.xml><?xml version="1.0" encoding="utf-8"?>
<table xmlns="http://schemas.openxmlformats.org/spreadsheetml/2006/main" id="60" name="Table100" displayName="Table100" ref="A1204:F1211"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1.xml><?xml version="1.0" encoding="utf-8"?>
<table xmlns="http://schemas.openxmlformats.org/spreadsheetml/2006/main" id="61" name="Table21" displayName="Table21" ref="A255:F256" totalsRowShown="0">
  <tableColumns count="6">
    <tableColumn id="1" name="CÓDIGO CATÁLOGO"/>
    <tableColumn id="2" name="ARTÍCULO">
      <calculatedColumnFormula>IFERROR(INDEX(UNSPSCDes,MATCH(INDIRECT(ADDRESS(ROW(),COLUMN()-1,4)),UNSPSCCode,0)),IF(INDIRECT(ADDRESS(ROW(),COLUMN()-1,4))="43231512","Software de manejo de licencias",""))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2.xml><?xml version="1.0" encoding="utf-8"?>
<table xmlns="http://schemas.openxmlformats.org/spreadsheetml/2006/main" id="62" name="Table27" displayName="Table27" ref="A350:F351" totalsRowShown="0">
  <tableColumns count="6">
    <tableColumn id="1" name="CÓDIGO CATÁLOGO"/>
    <tableColumn id="2" name="ARTÍCULO">
      <calculatedColumnFormula>IFERROR(INDEX(UNSPSCDes,MATCH(INDIRECT(ADDRESS(ROW(),COLUMN()-1,4)),UNSPSCCode,0)),IF(INDIRECT(ADDRESS(ROW(),COLUMN()-1,4))="44101501","Fotocopiadoras",""))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3.xml><?xml version="1.0" encoding="utf-8"?>
<table xmlns="http://schemas.openxmlformats.org/spreadsheetml/2006/main" id="63" name="Table38" displayName="Table38" ref="A483:F484" totalsRowShown="0">
  <tableColumns count="6">
    <tableColumn id="1" name="CÓDIGO CATÁLOGO"/>
    <tableColumn id="2" name="ARTÍCULO">
      <calculatedColumnFormula>IFERROR(INDEX(UNSPSCDes,MATCH(INDIRECT(ADDRESS(ROW(),COLUMN()-1,4)),UNSPSCCode,0)),IF(INDIRECT(ADDRESS(ROW(),COLUMN()-1,4))="43211501","Servidores de computador",""))</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4.xml><?xml version="1.0" encoding="utf-8"?>
<table xmlns="http://schemas.openxmlformats.org/spreadsheetml/2006/main" id="64" name="Table98" displayName="Table98" ref="A1156:F1169"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5.xml><?xml version="1.0" encoding="utf-8"?>
<table xmlns="http://schemas.openxmlformats.org/spreadsheetml/2006/main" id="65" name="Table61" displayName="Table61" ref="A742:F743" totalsRowShown="0">
  <tableColumns count="6">
    <tableColumn id="1" name="CÓDIGO CATÁLOGO"/>
    <tableColumn id="2" name="ARTÍCULO">
      <calculatedColumnFormula>IFERROR(INDEX(UNSPSCDes,MATCH(INDIRECT(ADDRESS(ROW(),COLUMN()-1,4)),UNSPSCCode,0)),IF(INDIRECT(ADDRESS(ROW(),COLUMN()-1,4))="90121502","Agencias de viajes",""))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6.xml><?xml version="1.0" encoding="utf-8"?>
<table xmlns="http://schemas.openxmlformats.org/spreadsheetml/2006/main" id="66" name="Table62" displayName="Table62" ref="A753:F754" totalsRowShown="0">
  <tableColumns count="6">
    <tableColumn id="1" name="CÓDIGO CATÁLOGO"/>
    <tableColumn id="2" name="ARTÍCULO">
      <calculatedColumnFormula>IFERROR(INDEX(UNSPSCDes,MATCH(INDIRECT(ADDRESS(ROW(),COLUMN()-1,4)),UNSPSCCode,0)),IF(INDIRECT(ADDRESS(ROW(),COLUMN()-1,4))="90121502","Agencias de viajes",""))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7.xml><?xml version="1.0" encoding="utf-8"?>
<table xmlns="http://schemas.openxmlformats.org/spreadsheetml/2006/main" id="67" name="Table15" displayName="Table15" ref="A189:F190" totalsRowShown="0">
  <tableColumns count="6">
    <tableColumn id="1" name="CÓDIGO CATÁLOGO"/>
    <tableColumn id="2" name="ARTÍCULO">
      <calculatedColumnFormula>IFERROR(INDEX(UNSPSCDes,MATCH(INDIRECT(ADDRESS(ROW(),COLUMN()-1,4)),UNSPSCCode,0)),IF(INDIRECT(ADDRESS(ROW(),COLUMN()-1,4))="31211508","Pinturas acrílicas",""))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8.xml><?xml version="1.0" encoding="utf-8"?>
<table xmlns="http://schemas.openxmlformats.org/spreadsheetml/2006/main" id="68" name="Table25" displayName="Table25" ref="A328:F329" totalsRowShown="0">
  <tableColumns count="6">
    <tableColumn id="1" name="CÓDIGO CATÁLOGO"/>
    <tableColumn id="2" name="ARTÍCULO">
      <calculatedColumnFormula>IFERROR(INDEX(UNSPSCDes,MATCH(INDIRECT(ADDRESS(ROW(),COLUMN()-1,4)),UNSPSCCode,0)),IF(INDIRECT(ADDRESS(ROW(),COLUMN()-1,4))="52141502","Hornos microondas para uso doméstico",""))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9.xml><?xml version="1.0" encoding="utf-8"?>
<table xmlns="http://schemas.openxmlformats.org/spreadsheetml/2006/main" id="69" name="Table41" displayName="Table41" ref="A521:F522"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id="7" name="Table54" displayName="Table54" ref="A664:F665" totalsRowShown="0">
  <tableColumns count="6">
    <tableColumn id="1" name="CÓDIGO CATÁLOGO"/>
    <tableColumn id="2" name="ARTÍCULO">
      <calculatedColumnFormula>IFERROR(INDEX(UNSPSCDes,MATCH(INDIRECT(ADDRESS(ROW(),COLUMN()-1,4)),UNSPSCCode,0)),IF(INDIRECT(ADDRESS(ROW(),COLUMN()-1,4))="50192701","Comidas combinadas frescas",""))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0.xml><?xml version="1.0" encoding="utf-8"?>
<table xmlns="http://schemas.openxmlformats.org/spreadsheetml/2006/main" id="70" name="Table6" displayName="Table6" ref="A61:F65"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1.xml><?xml version="1.0" encoding="utf-8"?>
<table xmlns="http://schemas.openxmlformats.org/spreadsheetml/2006/main" id="71" name="Table52" displayName="Table52" ref="A642:F643" totalsRowShown="0">
  <tableColumns count="6">
    <tableColumn id="1" name="CÓDIGO CATÁLOGO"/>
    <tableColumn id="2" name="ARTÍCULO">
      <calculatedColumnFormula>IFERROR(INDEX(UNSPSCDes,MATCH(INDIRECT(ADDRESS(ROW(),COLUMN()-1,4)),UNSPSCCode,0)),IF(INDIRECT(ADDRESS(ROW(),COLUMN()-1,4))="44103116","Kit para impresora",""))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2.xml><?xml version="1.0" encoding="utf-8"?>
<table xmlns="http://schemas.openxmlformats.org/spreadsheetml/2006/main" id="72" name="Table36" displayName="Table36" ref="A461:F462" totalsRowShown="0">
  <tableColumns count="6">
    <tableColumn id="1" name="CÓDIGO CATÁLOGO"/>
    <tableColumn id="2" name="ARTÍCULO">
      <calculatedColumnFormula>IFERROR(INDEX(UNSPSCDes,MATCH(INDIRECT(ADDRESS(ROW(),COLUMN()-1,4)),UNSPSCCode,0)),IF(INDIRECT(ADDRESS(ROW(),COLUMN()-1,4))="44121510","Sellos para correo",""))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3.xml><?xml version="1.0" encoding="utf-8"?>
<table xmlns="http://schemas.openxmlformats.org/spreadsheetml/2006/main" id="73" name="Table89" displayName="Table89" ref="A1050:F1051" totalsRowShown="0">
  <tableColumns count="6">
    <tableColumn id="1" name="CÓDIGO CATÁLOGO"/>
    <tableColumn id="2" name="ARTÍCULO">
      <calculatedColumnFormula>IFERROR(INDEX(UNSPSCDes,MATCH(INDIRECT(ADDRESS(ROW(),COLUMN()-1,4)),UNSPSCCode,0)),IF(INDIRECT(ADDRESS(ROW(),COLUMN()-1,4))="43233415","Software de respaldo o archivo",""))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4.xml><?xml version="1.0" encoding="utf-8"?>
<table xmlns="http://schemas.openxmlformats.org/spreadsheetml/2006/main" id="74" name="Table82" displayName="Table82" ref="A973:F974" totalsRowShown="0">
  <tableColumns count="6">
    <tableColumn id="1" name="CÓDIGO CATÁLOGO"/>
    <tableColumn id="2" name="ARTÍCULO">
      <calculatedColumnFormula>IFERROR(INDEX(UNSPSCDes,MATCH(INDIRECT(ADDRESS(ROW(),COLUMN()-1,4)),UNSPSCCode,0)),IF(INDIRECT(ADDRESS(ROW(),COLUMN()-1,4))="44101501","Fotocopiadoras",""))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5.xml><?xml version="1.0" encoding="utf-8"?>
<table xmlns="http://schemas.openxmlformats.org/spreadsheetml/2006/main" id="75" name="Table17" displayName="Table17" ref="A211:F212" totalsRowShown="0">
  <tableColumns count="6">
    <tableColumn id="1" name="CÓDIGO CATÁLOGO"/>
    <tableColumn id="2" name="ARTÍCULO">
      <calculatedColumnFormula>IFERROR(INDEX(UNSPSCDes,MATCH(INDIRECT(ADDRESS(ROW(),COLUMN()-1,4)),UNSPSCCode,0)),IF(INDIRECT(ADDRESS(ROW(),COLUMN()-1,4))="84111603","Auditorias internas",""))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6.xml><?xml version="1.0" encoding="utf-8"?>
<table xmlns="http://schemas.openxmlformats.org/spreadsheetml/2006/main" id="76" name="Table73" displayName="Table73" ref="A874:F875"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7.xml><?xml version="1.0" encoding="utf-8"?>
<table xmlns="http://schemas.openxmlformats.org/spreadsheetml/2006/main" id="77" name="Table57" displayName="Table57" ref="A697:F698" totalsRowShown="0">
  <tableColumns count="6">
    <tableColumn id="1" name="CÓDIGO CATÁLOGO"/>
    <tableColumn id="2" name="ARTÍCULO">
      <calculatedColumnFormula>IFERROR(INDEX(UNSPSCDes,MATCH(INDIRECT(ADDRESS(ROW(),COLUMN()-1,4)),UNSPSCCode,0)),IF(INDIRECT(ADDRESS(ROW(),COLUMN()-1,4))="86101808","Servicios de formación de recursos humanos para el sector  público",""))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8.xml><?xml version="1.0" encoding="utf-8"?>
<table xmlns="http://schemas.openxmlformats.org/spreadsheetml/2006/main" id="78" name="Table46" displayName="Table46" ref="A576:F577" totalsRowShown="0">
  <tableColumns count="6">
    <tableColumn id="1" name="CÓDIGO CATÁLOGO"/>
    <tableColumn id="2" name="ARTÍCULO">
      <calculatedColumnFormula>IFERROR(INDEX(UNSPSCDes,MATCH(INDIRECT(ADDRESS(ROW(),COLUMN()-1,4)),UNSPSCCode,0)),IF(INDIRECT(ADDRESS(ROW(),COLUMN()-1,4))="50192701","Comidas combinadas frescas",""))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9.xml><?xml version="1.0" encoding="utf-8"?>
<table xmlns="http://schemas.openxmlformats.org/spreadsheetml/2006/main" id="79" name="Table67" displayName="Table67" ref="A808:F809"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xml><?xml version="1.0" encoding="utf-8"?>
<table xmlns="http://schemas.openxmlformats.org/spreadsheetml/2006/main" id="8" name="Table29" displayName="Table29" ref="A372:F373" totalsRowShown="0">
  <tableColumns count="6">
    <tableColumn id="1" name="CÓDIGO CATÁLOGO"/>
    <tableColumn id="2" name="ARTÍCULO">
      <calculatedColumnFormula>IFERROR(INDEX(UNSPSCDes,MATCH(INDIRECT(ADDRESS(ROW(),COLUMN()-1,4)),UNSPSCCode,0)),IF(INDIRECT(ADDRESS(ROW(),COLUMN()-1,4))="76101502","Servicios de limpieza de baños",""))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0.xml><?xml version="1.0" encoding="utf-8"?>
<table xmlns="http://schemas.openxmlformats.org/spreadsheetml/2006/main" id="80" name="Table79" displayName="Table79" ref="A940:F941" totalsRowShown="0">
  <tableColumns count="6">
    <tableColumn id="1" name="CÓDIGO CATÁLOGO"/>
    <tableColumn id="2" name="ARTÍCULO">
      <calculatedColumnFormula>IFERROR(INDEX(UNSPSCDes,MATCH(INDIRECT(ADDRESS(ROW(),COLUMN()-1,4)),UNSPSCCode,0)),IF(INDIRECT(ADDRESS(ROW(),COLUMN()-1,4))="44103004","Fusores",""))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1.xml><?xml version="1.0" encoding="utf-8"?>
<table xmlns="http://schemas.openxmlformats.org/spreadsheetml/2006/main" id="81" name="Table50" displayName="Table50" ref="A620:F621" totalsRowShown="0">
  <tableColumns count="6">
    <tableColumn id="1" name="CÓDIGO CATÁLOGO"/>
    <tableColumn id="2" name="ARTÍCULO">
      <calculatedColumnFormula>IFERROR(INDEX(UNSPSCDes,MATCH(INDIRECT(ADDRESS(ROW(),COLUMN()-1,4)),UNSPSCCode,0)),IF(INDIRECT(ADDRESS(ROW(),COLUMN()-1,4))="44103103","Tóner para impresoras o fax",""))</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2.xml><?xml version="1.0" encoding="utf-8"?>
<table xmlns="http://schemas.openxmlformats.org/spreadsheetml/2006/main" id="82" name="Table35" displayName="Table35" ref="A448:F451" totalsRowShown="0">
  <tableColumns count="6">
    <tableColumn id="1" name="CÓDIGO CATÁLOGO"/>
    <tableColumn id="2" name="ARTÍCULO">
      <calculatedColumnFormula>IFERROR(INDEX(UNSPSCDes,MATCH(INDIRECT(ADDRESS(ROW(),COLUMN()-1,4)),UNSPSCCode,0)),IF(INDIRECT(ADDRESS(ROW(),COLUMN()-1,4))="43212110","Impresoras de múltiples funciones",""))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3.xml><?xml version="1.0" encoding="utf-8"?>
<table xmlns="http://schemas.openxmlformats.org/spreadsheetml/2006/main" id="83" name="Table12" displayName="Table12" ref="A147:F151"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4.xml><?xml version="1.0" encoding="utf-8"?>
<table xmlns="http://schemas.openxmlformats.org/spreadsheetml/2006/main" id="84" name="Table19" displayName="Table19" ref="A233:F234" totalsRowShown="0">
  <tableColumns count="6">
    <tableColumn id="1" name="CÓDIGO CATÁLOGO"/>
    <tableColumn id="2" name="ARTÍCULO">
      <calculatedColumnFormula>IFERROR(INDEX(UNSPSCDes,MATCH(INDIRECT(ADDRESS(ROW(),COLUMN()-1,4)),UNSPSCCode,0)),IF(INDIRECT(ADDRESS(ROW(),COLUMN()-1,4))="81112202","Actualizaciones o parches de software",""))</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5.xml><?xml version="1.0" encoding="utf-8"?>
<table xmlns="http://schemas.openxmlformats.org/spreadsheetml/2006/main" id="85" name="Table69" displayName="Table69" ref="A830:F831" totalsRowShown="0">
  <tableColumns count="6">
    <tableColumn id="1" name="CÓDIGO CATÁLOGO"/>
    <tableColumn id="2" name="ARTÍCULO">
      <calculatedColumnFormula>IFERROR(INDEX(UNSPSCDes,MATCH(INDIRECT(ADDRESS(ROW(),COLUMN()-1,4)),UNSPSCCode,0)),IF(INDIRECT(ADDRESS(ROW(),COLUMN()-1,4))="90101603","Servicios de cáterin",""))</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6.xml><?xml version="1.0" encoding="utf-8"?>
<table xmlns="http://schemas.openxmlformats.org/spreadsheetml/2006/main" id="86" name="Table78" displayName="Table78" ref="A929:F930" totalsRowShown="0">
  <tableColumns count="6">
    <tableColumn id="1" name="CÓDIGO CATÁLOGO"/>
    <tableColumn id="2" name="ARTÍCULO">
      <calculatedColumnFormula>IFERROR(INDEX(UNSPSCDes,MATCH(INDIRECT(ADDRESS(ROW(),COLUMN()-1,4)),UNSPSCCode,0)),IF(INDIRECT(ADDRESS(ROW(),COLUMN()-1,4))="72102103","Servicios de exterminación o fumigación",""))</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7.xml><?xml version="1.0" encoding="utf-8"?>
<table xmlns="http://schemas.openxmlformats.org/spreadsheetml/2006/main" id="87" name="Table87" displayName="Table87" ref="A1028:F1029" totalsRowShown="0">
  <tableColumns count="6">
    <tableColumn id="1" name="CÓDIGO CATÁLOGO"/>
    <tableColumn id="2" name="ARTÍCULO">
      <calculatedColumnFormula>IFERROR(INDEX(UNSPSCDes,MATCH(INDIRECT(ADDRESS(ROW(),COLUMN()-1,4)),UNSPSCCode,0)),IF(INDIRECT(ADDRESS(ROW(),COLUMN()-1,4))="43233415","Software de respaldo o archivo",""))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8.xml><?xml version="1.0" encoding="utf-8"?>
<table xmlns="http://schemas.openxmlformats.org/spreadsheetml/2006/main" id="88" name="Table33" displayName="Table33" ref="A423:F427"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9.xml><?xml version="1.0" encoding="utf-8"?>
<table xmlns="http://schemas.openxmlformats.org/spreadsheetml/2006/main" id="89" name="Table32" displayName="Table32" ref="A410:F413" totalsRowShown="0">
  <tableColumns count="6">
    <tableColumn id="1" name="CÓDIGO CATÁLOGO"/>
    <tableColumn id="2" name="ARTÍCULO">
      <calculatedColumnFormula>IFERROR(INDEX(UNSPSCDes,MATCH(INDIRECT(ADDRESS(ROW(),COLUMN()-1,4)),UNSPSCCode,0)),IF(INDIRECT(ADDRESS(ROW(),COLUMN()-1,4))="15101505","Combustible diesel",""))</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id="9" name="Table11" displayName="Table11" ref="A133:F137"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0.xml><?xml version="1.0" encoding="utf-8"?>
<table xmlns="http://schemas.openxmlformats.org/spreadsheetml/2006/main" id="90" name="Table49" displayName="Table49" ref="A609:F610" totalsRowShown="0">
  <tableColumns count="6">
    <tableColumn id="1" name="CÓDIGO CATÁLOGO"/>
    <tableColumn id="2" name="ARTÍCULO">
      <calculatedColumnFormula>IFERROR(INDEX(UNSPSCDes,MATCH(INDIRECT(ADDRESS(ROW(),COLUMN()-1,4)),UNSPSCCode,0)),IF(INDIRECT(ADDRESS(ROW(),COLUMN()-1,4))="44103103","Tóner para impresoras o fax",""))</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1.xml><?xml version="1.0" encoding="utf-8"?>
<table xmlns="http://schemas.openxmlformats.org/spreadsheetml/2006/main" id="91" name="Table22" displayName="Table22" ref="A266:F267" totalsRowShown="0">
  <tableColumns count="6">
    <tableColumn id="1" name="CÓDIGO CATÁLOGO"/>
    <tableColumn id="2" name="ARTÍCULO">
      <calculatedColumnFormula>IFERROR(INDEX(UNSPSCDes,MATCH(INDIRECT(ADDRESS(ROW(),COLUMN()-1,4)),UNSPSCCode,0)),IF(INDIRECT(ADDRESS(ROW(),COLUMN()-1,4))="43231512","Software de manejo de licencias",""))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2.xml><?xml version="1.0" encoding="utf-8"?>
<table xmlns="http://schemas.openxmlformats.org/spreadsheetml/2006/main" id="92" name="Table9" displayName="Table9" ref="A103:F107" totalsRowShown="0">
  <tableColumns count="6">
    <tableColumn id="1" name="CÓDIGO CATÁLOGO"/>
    <tableColumn id="2" name="ARTÍCULO">
      <calculatedColumnFormula>IFERROR(INDEX(UNSPSCDes,MATCH(INDIRECT(ADDRESS(ROW(),COLUMN()-1,4)),UNSPSCCode,0)),IF(INDIRECT(ADDRESS(ROW(),COLUMN()-1,4))="15101506","Gasolina",""))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3.xml><?xml version="1.0" encoding="utf-8"?>
<table xmlns="http://schemas.openxmlformats.org/spreadsheetml/2006/main" id="93" name="Table59" displayName="Table59" ref="A719:F720" totalsRowShown="0">
  <tableColumns count="6">
    <tableColumn id="1" name="CÓDIGO CATÁLOGO"/>
    <tableColumn id="2" name="ARTÍCULO">
      <calculatedColumnFormula>IFERROR(INDEX(UNSPSCDes,MATCH(INDIRECT(ADDRESS(ROW(),COLUMN()-1,4)),UNSPSCCode,0)),IF(INDIRECT(ADDRESS(ROW(),COLUMN()-1,4))="86101808","Servicios de formación de recursos humanos para el sector  público",""))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4.xml><?xml version="1.0" encoding="utf-8"?>
<table xmlns="http://schemas.openxmlformats.org/spreadsheetml/2006/main" id="94" name="Table65" displayName="Table65" ref="A786:F787" totalsRowShown="0">
  <tableColumns count="6">
    <tableColumn id="1" name="CÓDIGO CATÁLOGO"/>
    <tableColumn id="2" name="ARTÍCULO">
      <calculatedColumnFormula>IFERROR(INDEX(UNSPSCDes,MATCH(INDIRECT(ADDRESS(ROW(),COLUMN()-1,4)),UNSPSCCode,0)),IF(INDIRECT(ADDRESS(ROW(),COLUMN()-1,4))="90121502","Agencias de viajes",""))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5.xml><?xml version="1.0" encoding="utf-8"?>
<table xmlns="http://schemas.openxmlformats.org/spreadsheetml/2006/main" id="95" name="Table74" displayName="Table74" ref="A885:F886" totalsRowShown="0">
  <tableColumns count="6">
    <tableColumn id="1" name="CÓDIGO CATÁLOGO"/>
    <tableColumn id="2" name="ARTÍCULO">
      <calculatedColumnFormula>IFERROR(INDEX(UNSPSCDes,MATCH(INDIRECT(ADDRESS(ROW(),COLUMN()-1,4)),UNSPSCCode,0)),IF(INDIRECT(ADDRESS(ROW(),COLUMN()-1,4))="14111507","Papel para impresora o fotocopiadora",""))</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6.xml><?xml version="1.0" encoding="utf-8"?>
<table xmlns="http://schemas.openxmlformats.org/spreadsheetml/2006/main" id="96" name="Table90" displayName="Table90" ref="A1061:F1062" totalsRowShown="0">
  <tableColumns count="6">
    <tableColumn id="1" name="CÓDIGO CATÁLOGO"/>
    <tableColumn id="2" name="ARTÍCULO">
      <calculatedColumnFormula>IFERROR(INDEX(UNSPSCDes,MATCH(INDIRECT(ADDRESS(ROW(),COLUMN()-1,4)),UNSPSCCode,0)),IF(INDIRECT(ADDRESS(ROW(),COLUMN()-1,4))="43233415","Software de respaldo o archivo",""))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7.xml><?xml version="1.0" encoding="utf-8"?>
<table xmlns="http://schemas.openxmlformats.org/spreadsheetml/2006/main" id="97" name="Table96" displayName="Table96" ref="A1131:F1133"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8.xml><?xml version="1.0" encoding="utf-8"?>
<table xmlns="http://schemas.openxmlformats.org/spreadsheetml/2006/main" id="98" name="Table310" displayName="Table310" ref="A1221:F1225" totalsRowShown="0">
  <autoFilter ref="A1221:F122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9.xml><?xml version="1.0" encoding="utf-8"?>
<table xmlns="http://schemas.openxmlformats.org/spreadsheetml/2006/main" id="99" name="Table311" displayName="Table311" ref="A1235:F1239" totalsRowShown="0">
  <autoFilter ref="A1235:F12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table" Target="../tables/table24.xml"/><Relationship Id="rId117" Type="http://schemas.openxmlformats.org/officeDocument/2006/relationships/table" Target="../tables/table115.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84" Type="http://schemas.openxmlformats.org/officeDocument/2006/relationships/table" Target="../tables/table82.xml"/><Relationship Id="rId89" Type="http://schemas.openxmlformats.org/officeDocument/2006/relationships/table" Target="../tables/table87.xml"/><Relationship Id="rId112" Type="http://schemas.openxmlformats.org/officeDocument/2006/relationships/table" Target="../tables/table110.xml"/><Relationship Id="rId133" Type="http://schemas.openxmlformats.org/officeDocument/2006/relationships/table" Target="../tables/table131.xml"/><Relationship Id="rId138" Type="http://schemas.openxmlformats.org/officeDocument/2006/relationships/table" Target="../tables/table136.xml"/><Relationship Id="rId154" Type="http://schemas.openxmlformats.org/officeDocument/2006/relationships/table" Target="../tables/table152.xml"/><Relationship Id="rId16" Type="http://schemas.openxmlformats.org/officeDocument/2006/relationships/table" Target="../tables/table14.xml"/><Relationship Id="rId107" Type="http://schemas.openxmlformats.org/officeDocument/2006/relationships/table" Target="../tables/table105.xml"/><Relationship Id="rId11" Type="http://schemas.openxmlformats.org/officeDocument/2006/relationships/table" Target="../tables/table9.xml"/><Relationship Id="rId32" Type="http://schemas.openxmlformats.org/officeDocument/2006/relationships/table" Target="../tables/table30.xml"/><Relationship Id="rId37" Type="http://schemas.openxmlformats.org/officeDocument/2006/relationships/table" Target="../tables/table35.xml"/><Relationship Id="rId53" Type="http://schemas.openxmlformats.org/officeDocument/2006/relationships/table" Target="../tables/table51.xml"/><Relationship Id="rId58" Type="http://schemas.openxmlformats.org/officeDocument/2006/relationships/table" Target="../tables/table56.xml"/><Relationship Id="rId74" Type="http://schemas.openxmlformats.org/officeDocument/2006/relationships/table" Target="../tables/table72.xml"/><Relationship Id="rId79" Type="http://schemas.openxmlformats.org/officeDocument/2006/relationships/table" Target="../tables/table77.xml"/><Relationship Id="rId102" Type="http://schemas.openxmlformats.org/officeDocument/2006/relationships/table" Target="../tables/table100.xml"/><Relationship Id="rId123" Type="http://schemas.openxmlformats.org/officeDocument/2006/relationships/table" Target="../tables/table121.xml"/><Relationship Id="rId128" Type="http://schemas.openxmlformats.org/officeDocument/2006/relationships/table" Target="../tables/table126.xml"/><Relationship Id="rId144" Type="http://schemas.openxmlformats.org/officeDocument/2006/relationships/table" Target="../tables/table142.xml"/><Relationship Id="rId149" Type="http://schemas.openxmlformats.org/officeDocument/2006/relationships/table" Target="../tables/table147.xml"/><Relationship Id="rId5" Type="http://schemas.openxmlformats.org/officeDocument/2006/relationships/table" Target="../tables/table3.xml"/><Relationship Id="rId90" Type="http://schemas.openxmlformats.org/officeDocument/2006/relationships/table" Target="../tables/table88.xml"/><Relationship Id="rId95" Type="http://schemas.openxmlformats.org/officeDocument/2006/relationships/table" Target="../tables/table93.xml"/><Relationship Id="rId22" Type="http://schemas.openxmlformats.org/officeDocument/2006/relationships/table" Target="../tables/table20.xml"/><Relationship Id="rId27" Type="http://schemas.openxmlformats.org/officeDocument/2006/relationships/table" Target="../tables/table25.xml"/><Relationship Id="rId43" Type="http://schemas.openxmlformats.org/officeDocument/2006/relationships/table" Target="../tables/table41.xml"/><Relationship Id="rId48" Type="http://schemas.openxmlformats.org/officeDocument/2006/relationships/table" Target="../tables/table46.xml"/><Relationship Id="rId64" Type="http://schemas.openxmlformats.org/officeDocument/2006/relationships/table" Target="../tables/table62.xml"/><Relationship Id="rId69" Type="http://schemas.openxmlformats.org/officeDocument/2006/relationships/table" Target="../tables/table67.xml"/><Relationship Id="rId113" Type="http://schemas.openxmlformats.org/officeDocument/2006/relationships/table" Target="../tables/table111.xml"/><Relationship Id="rId118" Type="http://schemas.openxmlformats.org/officeDocument/2006/relationships/table" Target="../tables/table116.xml"/><Relationship Id="rId134" Type="http://schemas.openxmlformats.org/officeDocument/2006/relationships/table" Target="../tables/table132.xml"/><Relationship Id="rId139" Type="http://schemas.openxmlformats.org/officeDocument/2006/relationships/table" Target="../tables/table137.xml"/><Relationship Id="rId80" Type="http://schemas.openxmlformats.org/officeDocument/2006/relationships/table" Target="../tables/table78.xml"/><Relationship Id="rId85" Type="http://schemas.openxmlformats.org/officeDocument/2006/relationships/table" Target="../tables/table83.xml"/><Relationship Id="rId150" Type="http://schemas.openxmlformats.org/officeDocument/2006/relationships/table" Target="../tables/table148.xml"/><Relationship Id="rId155" Type="http://schemas.openxmlformats.org/officeDocument/2006/relationships/table" Target="../tables/table153.xml"/><Relationship Id="rId12" Type="http://schemas.openxmlformats.org/officeDocument/2006/relationships/table" Target="../tables/table10.xml"/><Relationship Id="rId17" Type="http://schemas.openxmlformats.org/officeDocument/2006/relationships/table" Target="../tables/table15.xml"/><Relationship Id="rId33" Type="http://schemas.openxmlformats.org/officeDocument/2006/relationships/table" Target="../tables/table31.xml"/><Relationship Id="rId38" Type="http://schemas.openxmlformats.org/officeDocument/2006/relationships/table" Target="../tables/table36.xml"/><Relationship Id="rId59" Type="http://schemas.openxmlformats.org/officeDocument/2006/relationships/table" Target="../tables/table57.xml"/><Relationship Id="rId103" Type="http://schemas.openxmlformats.org/officeDocument/2006/relationships/table" Target="../tables/table101.xml"/><Relationship Id="rId108" Type="http://schemas.openxmlformats.org/officeDocument/2006/relationships/table" Target="../tables/table106.xml"/><Relationship Id="rId124" Type="http://schemas.openxmlformats.org/officeDocument/2006/relationships/table" Target="../tables/table122.xml"/><Relationship Id="rId129" Type="http://schemas.openxmlformats.org/officeDocument/2006/relationships/table" Target="../tables/table127.xml"/><Relationship Id="rId20" Type="http://schemas.openxmlformats.org/officeDocument/2006/relationships/table" Target="../tables/table18.xml"/><Relationship Id="rId41" Type="http://schemas.openxmlformats.org/officeDocument/2006/relationships/table" Target="../tables/table39.xml"/><Relationship Id="rId54" Type="http://schemas.openxmlformats.org/officeDocument/2006/relationships/table" Target="../tables/table52.xml"/><Relationship Id="rId62" Type="http://schemas.openxmlformats.org/officeDocument/2006/relationships/table" Target="../tables/table60.xml"/><Relationship Id="rId70" Type="http://schemas.openxmlformats.org/officeDocument/2006/relationships/table" Target="../tables/table68.xml"/><Relationship Id="rId75" Type="http://schemas.openxmlformats.org/officeDocument/2006/relationships/table" Target="../tables/table73.xml"/><Relationship Id="rId83" Type="http://schemas.openxmlformats.org/officeDocument/2006/relationships/table" Target="../tables/table81.xml"/><Relationship Id="rId88" Type="http://schemas.openxmlformats.org/officeDocument/2006/relationships/table" Target="../tables/table86.xml"/><Relationship Id="rId91" Type="http://schemas.openxmlformats.org/officeDocument/2006/relationships/table" Target="../tables/table89.xml"/><Relationship Id="rId96" Type="http://schemas.openxmlformats.org/officeDocument/2006/relationships/table" Target="../tables/table94.xml"/><Relationship Id="rId111" Type="http://schemas.openxmlformats.org/officeDocument/2006/relationships/table" Target="../tables/table109.xml"/><Relationship Id="rId132" Type="http://schemas.openxmlformats.org/officeDocument/2006/relationships/table" Target="../tables/table130.xml"/><Relationship Id="rId140" Type="http://schemas.openxmlformats.org/officeDocument/2006/relationships/table" Target="../tables/table138.xml"/><Relationship Id="rId145" Type="http://schemas.openxmlformats.org/officeDocument/2006/relationships/table" Target="../tables/table143.xml"/><Relationship Id="rId153" Type="http://schemas.openxmlformats.org/officeDocument/2006/relationships/table" Target="../tables/table151.xml"/><Relationship Id="rId1" Type="http://schemas.openxmlformats.org/officeDocument/2006/relationships/drawing" Target="../drawings/drawing1.xml"/><Relationship Id="rId6" Type="http://schemas.openxmlformats.org/officeDocument/2006/relationships/table" Target="../tables/table4.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106" Type="http://schemas.openxmlformats.org/officeDocument/2006/relationships/table" Target="../tables/table104.xml"/><Relationship Id="rId114" Type="http://schemas.openxmlformats.org/officeDocument/2006/relationships/table" Target="../tables/table112.xml"/><Relationship Id="rId119" Type="http://schemas.openxmlformats.org/officeDocument/2006/relationships/table" Target="../tables/table117.xml"/><Relationship Id="rId127" Type="http://schemas.openxmlformats.org/officeDocument/2006/relationships/table" Target="../tables/table125.xml"/><Relationship Id="rId10" Type="http://schemas.openxmlformats.org/officeDocument/2006/relationships/table" Target="../tables/table8.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table" Target="../tables/table58.xml"/><Relationship Id="rId65" Type="http://schemas.openxmlformats.org/officeDocument/2006/relationships/table" Target="../tables/table63.xml"/><Relationship Id="rId73" Type="http://schemas.openxmlformats.org/officeDocument/2006/relationships/table" Target="../tables/table71.xml"/><Relationship Id="rId78" Type="http://schemas.openxmlformats.org/officeDocument/2006/relationships/table" Target="../tables/table76.xml"/><Relationship Id="rId81" Type="http://schemas.openxmlformats.org/officeDocument/2006/relationships/table" Target="../tables/table79.xml"/><Relationship Id="rId86" Type="http://schemas.openxmlformats.org/officeDocument/2006/relationships/table" Target="../tables/table84.xml"/><Relationship Id="rId94" Type="http://schemas.openxmlformats.org/officeDocument/2006/relationships/table" Target="../tables/table92.xml"/><Relationship Id="rId99" Type="http://schemas.openxmlformats.org/officeDocument/2006/relationships/table" Target="../tables/table97.xml"/><Relationship Id="rId101" Type="http://schemas.openxmlformats.org/officeDocument/2006/relationships/table" Target="../tables/table99.xml"/><Relationship Id="rId122" Type="http://schemas.openxmlformats.org/officeDocument/2006/relationships/table" Target="../tables/table120.xml"/><Relationship Id="rId130" Type="http://schemas.openxmlformats.org/officeDocument/2006/relationships/table" Target="../tables/table128.xml"/><Relationship Id="rId135" Type="http://schemas.openxmlformats.org/officeDocument/2006/relationships/table" Target="../tables/table133.xml"/><Relationship Id="rId143" Type="http://schemas.openxmlformats.org/officeDocument/2006/relationships/table" Target="../tables/table141.xml"/><Relationship Id="rId148" Type="http://schemas.openxmlformats.org/officeDocument/2006/relationships/table" Target="../tables/table146.xml"/><Relationship Id="rId151" Type="http://schemas.openxmlformats.org/officeDocument/2006/relationships/table" Target="../tables/table149.xml"/><Relationship Id="rId156" Type="http://schemas.openxmlformats.org/officeDocument/2006/relationships/table" Target="../tables/table154.xml"/><Relationship Id="rId4" Type="http://schemas.openxmlformats.org/officeDocument/2006/relationships/table" Target="../tables/table2.xml"/><Relationship Id="rId9" Type="http://schemas.openxmlformats.org/officeDocument/2006/relationships/table" Target="../tables/table7.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109" Type="http://schemas.openxmlformats.org/officeDocument/2006/relationships/table" Target="../tables/table10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97" Type="http://schemas.openxmlformats.org/officeDocument/2006/relationships/table" Target="../tables/table95.xml"/><Relationship Id="rId104" Type="http://schemas.openxmlformats.org/officeDocument/2006/relationships/table" Target="../tables/table102.xml"/><Relationship Id="rId120" Type="http://schemas.openxmlformats.org/officeDocument/2006/relationships/table" Target="../tables/table118.xml"/><Relationship Id="rId125" Type="http://schemas.openxmlformats.org/officeDocument/2006/relationships/table" Target="../tables/table123.xml"/><Relationship Id="rId141" Type="http://schemas.openxmlformats.org/officeDocument/2006/relationships/table" Target="../tables/table139.xml"/><Relationship Id="rId146" Type="http://schemas.openxmlformats.org/officeDocument/2006/relationships/table" Target="../tables/table144.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110" Type="http://schemas.openxmlformats.org/officeDocument/2006/relationships/table" Target="../tables/table108.xml"/><Relationship Id="rId115" Type="http://schemas.openxmlformats.org/officeDocument/2006/relationships/table" Target="../tables/table113.xml"/><Relationship Id="rId131" Type="http://schemas.openxmlformats.org/officeDocument/2006/relationships/table" Target="../tables/table129.xml"/><Relationship Id="rId136" Type="http://schemas.openxmlformats.org/officeDocument/2006/relationships/table" Target="../tables/table134.xml"/><Relationship Id="rId157" Type="http://schemas.openxmlformats.org/officeDocument/2006/relationships/table" Target="../tables/table155.xml"/><Relationship Id="rId61" Type="http://schemas.openxmlformats.org/officeDocument/2006/relationships/table" Target="../tables/table59.xml"/><Relationship Id="rId82" Type="http://schemas.openxmlformats.org/officeDocument/2006/relationships/table" Target="../tables/table80.xml"/><Relationship Id="rId152" Type="http://schemas.openxmlformats.org/officeDocument/2006/relationships/table" Target="../tables/table15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 Id="rId100" Type="http://schemas.openxmlformats.org/officeDocument/2006/relationships/table" Target="../tables/table98.xml"/><Relationship Id="rId105" Type="http://schemas.openxmlformats.org/officeDocument/2006/relationships/table" Target="../tables/table103.xml"/><Relationship Id="rId126" Type="http://schemas.openxmlformats.org/officeDocument/2006/relationships/table" Target="../tables/table124.xml"/><Relationship Id="rId147" Type="http://schemas.openxmlformats.org/officeDocument/2006/relationships/table" Target="../tables/table145.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93" Type="http://schemas.openxmlformats.org/officeDocument/2006/relationships/table" Target="../tables/table91.xml"/><Relationship Id="rId98" Type="http://schemas.openxmlformats.org/officeDocument/2006/relationships/table" Target="../tables/table96.xml"/><Relationship Id="rId121" Type="http://schemas.openxmlformats.org/officeDocument/2006/relationships/table" Target="../tables/table119.xml"/><Relationship Id="rId142" Type="http://schemas.openxmlformats.org/officeDocument/2006/relationships/table" Target="../tables/table140.xml"/><Relationship Id="rId3" Type="http://schemas.openxmlformats.org/officeDocument/2006/relationships/table" Target="../tables/table1.xml"/><Relationship Id="rId25" Type="http://schemas.openxmlformats.org/officeDocument/2006/relationships/table" Target="../tables/table23.xml"/><Relationship Id="rId46" Type="http://schemas.openxmlformats.org/officeDocument/2006/relationships/table" Target="../tables/table44.xml"/><Relationship Id="rId67" Type="http://schemas.openxmlformats.org/officeDocument/2006/relationships/table" Target="../tables/table65.xml"/><Relationship Id="rId116" Type="http://schemas.openxmlformats.org/officeDocument/2006/relationships/table" Target="../tables/table114.xml"/><Relationship Id="rId137" Type="http://schemas.openxmlformats.org/officeDocument/2006/relationships/table" Target="../tables/table135.xml"/><Relationship Id="rId158"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F1938"/>
  <sheetViews>
    <sheetView tabSelected="1" workbookViewId="0">
      <selection activeCell="K25" sqref="K25"/>
    </sheetView>
  </sheetViews>
  <sheetFormatPr baseColWidth="10" defaultRowHeight="15"/>
  <sheetData>
    <row r="1" spans="1:6" ht="18.75" thickTop="1">
      <c r="A1" s="8"/>
      <c r="B1" s="9"/>
      <c r="C1" s="10"/>
      <c r="D1" s="10"/>
      <c r="E1" s="11"/>
      <c r="F1" s="9"/>
    </row>
    <row r="2" spans="1:6" ht="15.75">
      <c r="A2" s="8"/>
      <c r="B2" s="12" t="s">
        <v>20</v>
      </c>
      <c r="C2" s="12"/>
      <c r="D2" s="12"/>
      <c r="E2" s="12"/>
      <c r="F2" s="13"/>
    </row>
    <row r="3" spans="1:6" ht="15.75">
      <c r="A3" s="8"/>
      <c r="B3" s="14" t="str">
        <f>"AÑO "&amp;E11</f>
        <v>AÑO 2018</v>
      </c>
      <c r="C3" s="14"/>
      <c r="D3" s="14"/>
      <c r="E3" s="14"/>
      <c r="F3" s="15"/>
    </row>
    <row r="4" spans="1:6" ht="18">
      <c r="A4" s="8"/>
      <c r="B4" s="9"/>
      <c r="C4" s="9"/>
      <c r="D4" s="9"/>
      <c r="E4" s="16"/>
      <c r="F4" s="9"/>
    </row>
    <row r="5" spans="1:6" ht="21" thickBot="1">
      <c r="A5" s="17"/>
      <c r="B5" s="17"/>
      <c r="C5" s="18"/>
      <c r="D5" s="18"/>
      <c r="E5" s="18"/>
      <c r="F5" s="18"/>
    </row>
    <row r="6" spans="1:6" ht="15.75" thickBot="1">
      <c r="A6" s="19" t="s">
        <v>21</v>
      </c>
      <c r="B6" s="20"/>
      <c r="C6" s="21"/>
      <c r="D6" s="22" t="s">
        <v>22</v>
      </c>
      <c r="E6" s="23" t="s">
        <v>23</v>
      </c>
      <c r="F6" s="24"/>
    </row>
    <row r="7" spans="1:6" ht="15.75" thickBot="1">
      <c r="A7" s="25" t="s">
        <v>24</v>
      </c>
      <c r="B7" s="20"/>
      <c r="C7" s="20"/>
      <c r="D7" s="22" t="s">
        <v>25</v>
      </c>
      <c r="E7" s="23" t="s">
        <v>26</v>
      </c>
      <c r="F7" s="24"/>
    </row>
    <row r="8" spans="1:6" ht="27.75" thickBot="1">
      <c r="A8" s="20"/>
      <c r="B8" s="20"/>
      <c r="C8" s="20"/>
      <c r="D8" s="22" t="s">
        <v>27</v>
      </c>
      <c r="E8" s="23" t="s">
        <v>28</v>
      </c>
      <c r="F8" s="24"/>
    </row>
    <row r="9" spans="1:6" ht="27.75" thickBot="1">
      <c r="A9" s="26" t="s">
        <v>29</v>
      </c>
      <c r="B9" s="27">
        <f ca="1">COUNTIFS(TotalEstColumnName,"="&amp;TotalEstLabel,TotalEstColumnValue,"&gt;0")</f>
        <v>155</v>
      </c>
      <c r="C9" s="20"/>
      <c r="D9" s="22" t="s">
        <v>30</v>
      </c>
      <c r="E9" s="23" t="s">
        <v>31</v>
      </c>
      <c r="F9" s="24"/>
    </row>
    <row r="10" spans="1:6" ht="41.25" thickBot="1">
      <c r="A10" s="28" t="s">
        <v>32</v>
      </c>
      <c r="B10" s="29">
        <f ca="1">SUMIF(TotalEstColumnName,"="&amp;TotalEstLabel,TotalEstColumnValue)</f>
        <v>55944976.649999999</v>
      </c>
      <c r="C10" s="20"/>
      <c r="D10" s="22" t="s">
        <v>33</v>
      </c>
      <c r="E10" s="23" t="s">
        <v>34</v>
      </c>
      <c r="F10" s="24"/>
    </row>
    <row r="11" spans="1:6" ht="15.75" thickBot="1">
      <c r="A11" s="30"/>
      <c r="B11" s="30"/>
      <c r="C11" s="20"/>
      <c r="D11" s="22" t="s">
        <v>35</v>
      </c>
      <c r="E11" s="31">
        <v>2018</v>
      </c>
      <c r="F11" s="32"/>
    </row>
    <row r="12" spans="1:6" ht="27.75" thickBot="1">
      <c r="A12" s="33"/>
      <c r="B12" s="33"/>
      <c r="C12" s="33"/>
      <c r="D12" s="22" t="s">
        <v>36</v>
      </c>
      <c r="E12" s="34" t="s">
        <v>37</v>
      </c>
      <c r="F12" s="35"/>
    </row>
    <row r="13" spans="1:6" ht="16.5">
      <c r="A13" s="36"/>
      <c r="B13" s="36"/>
      <c r="C13" s="36"/>
      <c r="D13" s="36"/>
      <c r="E13" s="36"/>
      <c r="F13" s="36"/>
    </row>
    <row r="14" spans="1:6" ht="17.25" thickBot="1">
      <c r="A14" s="36"/>
      <c r="B14" s="36"/>
      <c r="C14" s="36"/>
      <c r="D14" s="36"/>
      <c r="E14" s="36"/>
      <c r="F14" s="36"/>
    </row>
    <row r="15" spans="1:6" ht="34.5" thickBot="1">
      <c r="A15" s="1" t="s">
        <v>0</v>
      </c>
      <c r="B15" s="1" t="s">
        <v>1</v>
      </c>
      <c r="C15" s="1" t="s">
        <v>2</v>
      </c>
      <c r="D15" s="1" t="s">
        <v>3</v>
      </c>
      <c r="E15" s="1" t="s">
        <v>4</v>
      </c>
      <c r="F15" s="1" t="s">
        <v>5</v>
      </c>
    </row>
    <row r="16" spans="1:6" ht="15.75" thickBot="1">
      <c r="A16" s="2" t="s">
        <v>38</v>
      </c>
      <c r="B16" s="2" t="s">
        <v>39</v>
      </c>
      <c r="C16" s="2" t="s">
        <v>40</v>
      </c>
      <c r="D16" s="2" t="s">
        <v>41</v>
      </c>
      <c r="E16" s="2" t="s">
        <v>42</v>
      </c>
      <c r="F16" s="2"/>
    </row>
    <row r="17" spans="1:6" ht="15.75" thickBot="1">
      <c r="A17" s="3" t="s">
        <v>11</v>
      </c>
      <c r="B17" s="4" t="s">
        <v>12</v>
      </c>
      <c r="C17" s="37">
        <v>43141</v>
      </c>
      <c r="D17" s="3" t="s">
        <v>13</v>
      </c>
      <c r="E17" s="38" t="s">
        <v>14</v>
      </c>
      <c r="F17" s="39"/>
    </row>
    <row r="18" spans="1:6" ht="15.75" thickBot="1">
      <c r="A18" s="6"/>
      <c r="B18" s="4" t="s">
        <v>15</v>
      </c>
      <c r="C18" s="40">
        <f>IF(C17="","",IF(AND(MONTH(C17)&gt;=1,MONTH(C17)&lt;=3),1,IF(AND(MONTH(C17)&gt;=4,MONTH(C17)&lt;=6),2,IF(AND(MONTH(C17)&gt;=7,MONTH(C17)&lt;=9),3,4))))</f>
        <v>1</v>
      </c>
      <c r="D18" s="6"/>
      <c r="E18" s="38" t="s">
        <v>16</v>
      </c>
      <c r="F18" s="39"/>
    </row>
    <row r="19" spans="1:6" ht="15.75" thickBot="1">
      <c r="A19" s="6"/>
      <c r="B19" s="4" t="s">
        <v>17</v>
      </c>
      <c r="C19" s="37">
        <v>43151</v>
      </c>
      <c r="D19" s="6"/>
      <c r="E19" s="38" t="s">
        <v>18</v>
      </c>
      <c r="F19" s="39"/>
    </row>
    <row r="20" spans="1:6" ht="15.75" thickBot="1">
      <c r="A20" s="6"/>
      <c r="B20" s="4" t="s">
        <v>15</v>
      </c>
      <c r="C20" s="40">
        <f>IF(C19="","",IF(AND(MONTH(C19)&gt;=1,MONTH(C19)&lt;=3),1,IF(AND(MONTH(C19)&gt;=4,MONTH(C19)&lt;=6),2,IF(AND(MONTH(C19)&gt;=7,MONTH(C19)&lt;=9),3,4))))</f>
        <v>1</v>
      </c>
      <c r="D20" s="6"/>
      <c r="E20" s="38" t="s">
        <v>19</v>
      </c>
      <c r="F20" s="39"/>
    </row>
    <row r="21" spans="1:6" ht="17.25" thickBot="1">
      <c r="A21" s="36"/>
      <c r="B21" s="36"/>
      <c r="C21" s="36"/>
      <c r="D21" s="36"/>
      <c r="E21" s="36"/>
      <c r="F21" s="36"/>
    </row>
    <row r="22" spans="1:6" ht="15.75" thickBot="1">
      <c r="A22" s="41" t="s">
        <v>43</v>
      </c>
      <c r="B22" s="41" t="s">
        <v>44</v>
      </c>
      <c r="C22" s="41" t="s">
        <v>45</v>
      </c>
      <c r="D22" s="41" t="s">
        <v>46</v>
      </c>
      <c r="E22" s="41" t="s">
        <v>47</v>
      </c>
      <c r="F22" s="41" t="s">
        <v>48</v>
      </c>
    </row>
    <row r="23" spans="1:6">
      <c r="A23" s="42" t="s">
        <v>49</v>
      </c>
      <c r="B23" s="43" t="str">
        <f ca="1">IFERROR(INDEX(UNSPSCDes,MATCH(INDIRECT(ADDRESS(ROW(),COLUMN()-1,4)),UNSPSCCode,0)),IF(INDIRECT(ADDRESS(ROW(),COLUMN()-1,4))="15101506","Gasolina",""))</f>
        <v>Gasolina</v>
      </c>
      <c r="C23" s="44" t="str">
        <f>IFERROR(VLOOKUP("UD",'[1]Informacion '!P:Q,2,FALSE),"")</f>
        <v>Unidad</v>
      </c>
      <c r="D23" s="42">
        <v>25</v>
      </c>
      <c r="E23" s="45">
        <v>1000</v>
      </c>
      <c r="F23" s="46">
        <f ca="1">INDIRECT(ADDRESS(ROW(),COLUMN()-2,4))*INDIRECT(ADDRESS(ROW(),COLUMN()-1,4))</f>
        <v>25000</v>
      </c>
    </row>
    <row r="24" spans="1:6">
      <c r="A24" s="42" t="s">
        <v>49</v>
      </c>
      <c r="B24" s="43" t="str">
        <f ca="1">IFERROR(INDEX(UNSPSCDes,MATCH(INDIRECT(ADDRESS(ROW(),COLUMN()-1,4)),UNSPSCCode,0)),IF(INDIRECT(ADDRESS(ROW(),COLUMN()-1,4))="15101506","Gasolina",""))</f>
        <v>Gasolina</v>
      </c>
      <c r="C24" s="44" t="str">
        <f>IFERROR(VLOOKUP("UD",'[1]Informacion '!P:Q,2,FALSE),"")</f>
        <v>Unidad</v>
      </c>
      <c r="D24" s="42">
        <v>200</v>
      </c>
      <c r="E24" s="45">
        <v>500</v>
      </c>
      <c r="F24" s="46">
        <f ca="1">INDIRECT(ADDRESS(ROW(),COLUMN()-2,4))*INDIRECT(ADDRESS(ROW(),COLUMN()-1,4))</f>
        <v>100000</v>
      </c>
    </row>
    <row r="25" spans="1:6">
      <c r="A25" s="42" t="s">
        <v>49</v>
      </c>
      <c r="B25" s="43" t="str">
        <f ca="1">IFERROR(INDEX(UNSPSCDes,MATCH(INDIRECT(ADDRESS(ROW(),COLUMN()-1,4)),UNSPSCCode,0)),IF(INDIRECT(ADDRESS(ROW(),COLUMN()-1,4))="15101506","Gasolina",""))</f>
        <v>Gasolina</v>
      </c>
      <c r="C25" s="44" t="str">
        <f>IFERROR(VLOOKUP("UD",'[1]Informacion '!P:Q,2,FALSE),"")</f>
        <v>Unidad</v>
      </c>
      <c r="D25" s="42">
        <v>250</v>
      </c>
      <c r="E25" s="45">
        <v>200</v>
      </c>
      <c r="F25" s="46">
        <f ca="1">INDIRECT(ADDRESS(ROW(),COLUMN()-2,4))*INDIRECT(ADDRESS(ROW(),COLUMN()-1,4))</f>
        <v>50000</v>
      </c>
    </row>
    <row r="26" spans="1:6">
      <c r="A26" s="42" t="s">
        <v>49</v>
      </c>
      <c r="B26" s="43" t="str">
        <f ca="1">IFERROR(INDEX(UNSPSCDes,MATCH(INDIRECT(ADDRESS(ROW(),COLUMN()-1,4)),UNSPSCCode,0)),IF(INDIRECT(ADDRESS(ROW(),COLUMN()-1,4))="15101506","Gasolina",""))</f>
        <v>Gasolina</v>
      </c>
      <c r="C26" s="44" t="str">
        <f>IFERROR(VLOOKUP("UD",'[1]Informacion '!P:Q,2,FALSE),"")</f>
        <v>Unidad</v>
      </c>
      <c r="D26" s="42">
        <v>150</v>
      </c>
      <c r="E26" s="45">
        <v>100</v>
      </c>
      <c r="F26" s="46">
        <f ca="1">INDIRECT(ADDRESS(ROW(),COLUMN()-2,4))*INDIRECT(ADDRESS(ROW(),COLUMN()-1,4))</f>
        <v>15000</v>
      </c>
    </row>
    <row r="27" spans="1:6" ht="16.5">
      <c r="A27" s="36"/>
      <c r="B27" s="36"/>
      <c r="C27" s="36"/>
      <c r="D27" s="36"/>
      <c r="E27" s="47" t="s">
        <v>50</v>
      </c>
      <c r="F27" s="48">
        <f ca="1">SUM(Table4[MONTO TOTAL ESTIMADO])</f>
        <v>190000</v>
      </c>
    </row>
    <row r="28" spans="1:6" ht="17.25" thickBot="1">
      <c r="A28" s="36"/>
      <c r="B28" s="36"/>
      <c r="C28" s="36"/>
      <c r="D28" s="36"/>
      <c r="E28" s="36"/>
      <c r="F28" s="36"/>
    </row>
    <row r="29" spans="1:6" ht="34.5" thickBot="1">
      <c r="A29" s="1" t="s">
        <v>0</v>
      </c>
      <c r="B29" s="1" t="s">
        <v>1</v>
      </c>
      <c r="C29" s="1" t="s">
        <v>2</v>
      </c>
      <c r="D29" s="1" t="s">
        <v>3</v>
      </c>
      <c r="E29" s="1" t="s">
        <v>4</v>
      </c>
      <c r="F29" s="1" t="s">
        <v>5</v>
      </c>
    </row>
    <row r="30" spans="1:6" ht="15.75" thickBot="1">
      <c r="A30" s="2" t="s">
        <v>51</v>
      </c>
      <c r="B30" s="2" t="s">
        <v>52</v>
      </c>
      <c r="C30" s="2" t="s">
        <v>40</v>
      </c>
      <c r="D30" s="2" t="s">
        <v>53</v>
      </c>
      <c r="E30" s="2" t="s">
        <v>42</v>
      </c>
      <c r="F30" s="2"/>
    </row>
    <row r="31" spans="1:6" ht="15.75" thickBot="1">
      <c r="A31" s="3" t="s">
        <v>11</v>
      </c>
      <c r="B31" s="4" t="s">
        <v>12</v>
      </c>
      <c r="C31" s="37">
        <v>43194</v>
      </c>
      <c r="D31" s="3" t="s">
        <v>13</v>
      </c>
      <c r="E31" s="38" t="s">
        <v>14</v>
      </c>
      <c r="F31" s="39"/>
    </row>
    <row r="32" spans="1:6" ht="15.75" thickBot="1">
      <c r="A32" s="6"/>
      <c r="B32" s="4" t="s">
        <v>15</v>
      </c>
      <c r="C32" s="40">
        <f>IF(C31="","",IF(AND(MONTH(C31)&gt;=1,MONTH(C31)&lt;=3),1,IF(AND(MONTH(C31)&gt;=4,MONTH(C31)&lt;=6),2,IF(AND(MONTH(C31)&gt;=7,MONTH(C31)&lt;=9),3,4))))</f>
        <v>2</v>
      </c>
      <c r="D32" s="6"/>
      <c r="E32" s="38" t="s">
        <v>16</v>
      </c>
      <c r="F32" s="39"/>
    </row>
    <row r="33" spans="1:6" ht="15.75" thickBot="1">
      <c r="A33" s="6"/>
      <c r="B33" s="4" t="s">
        <v>17</v>
      </c>
      <c r="C33" s="37">
        <v>43195</v>
      </c>
      <c r="D33" s="6"/>
      <c r="E33" s="38" t="s">
        <v>18</v>
      </c>
      <c r="F33" s="39"/>
    </row>
    <row r="34" spans="1:6" ht="15.75" thickBot="1">
      <c r="A34" s="6"/>
      <c r="B34" s="4" t="s">
        <v>15</v>
      </c>
      <c r="C34" s="40">
        <f>IF(C33="","",IF(AND(MONTH(C33)&gt;=1,MONTH(C33)&lt;=3),1,IF(AND(MONTH(C33)&gt;=4,MONTH(C33)&lt;=6),2,IF(AND(MONTH(C33)&gt;=7,MONTH(C33)&lt;=9),3,4))))</f>
        <v>2</v>
      </c>
      <c r="D34" s="6"/>
      <c r="E34" s="38" t="s">
        <v>19</v>
      </c>
      <c r="F34" s="39"/>
    </row>
    <row r="35" spans="1:6" ht="17.25" thickBot="1">
      <c r="A35" s="36"/>
      <c r="B35" s="36"/>
      <c r="C35" s="36"/>
      <c r="D35" s="36"/>
      <c r="E35" s="36"/>
      <c r="F35" s="36"/>
    </row>
    <row r="36" spans="1:6" ht="15.75" thickBot="1">
      <c r="A36" s="41" t="s">
        <v>43</v>
      </c>
      <c r="B36" s="41" t="s">
        <v>44</v>
      </c>
      <c r="C36" s="41" t="s">
        <v>45</v>
      </c>
      <c r="D36" s="41" t="s">
        <v>46</v>
      </c>
      <c r="E36" s="41" t="s">
        <v>47</v>
      </c>
      <c r="F36" s="41" t="s">
        <v>48</v>
      </c>
    </row>
    <row r="37" spans="1:6" ht="33.75">
      <c r="A37" s="42" t="s">
        <v>54</v>
      </c>
      <c r="B37" s="43" t="str">
        <f t="shared" ref="B37:B51" ca="1" si="0">IFERROR(INDEX(UNSPSCDes,MATCH(INDIRECT(ADDRESS(ROW(),COLUMN()-1,4)),UNSPSCCode,0)),IF(INDIRECT(ADDRESS(ROW(),COLUMN()-1,4))="14111507","Papel para impresora o fotocopiadora",""))</f>
        <v>Papel para impresora o fotocopiadora</v>
      </c>
      <c r="C37" s="44" t="str">
        <f>IFERROR(VLOOKUP("UD",'[1]Informacion '!P:Q,2,FALSE),"")</f>
        <v>Unidad</v>
      </c>
      <c r="D37" s="42">
        <v>20</v>
      </c>
      <c r="E37" s="45">
        <v>179.35</v>
      </c>
      <c r="F37" s="46">
        <f t="shared" ref="F37:F51" ca="1" si="1">INDIRECT(ADDRESS(ROW(),COLUMN()-2,4))*INDIRECT(ADDRESS(ROW(),COLUMN()-1,4))</f>
        <v>3587</v>
      </c>
    </row>
    <row r="38" spans="1:6" ht="33.75">
      <c r="A38" s="42" t="s">
        <v>54</v>
      </c>
      <c r="B38" s="43" t="str">
        <f t="shared" ca="1" si="0"/>
        <v>Papel para impresora o fotocopiadora</v>
      </c>
      <c r="C38" s="44" t="str">
        <f>IFERROR(VLOOKUP("UD",'[1]Informacion '!P:Q,2,FALSE),"")</f>
        <v>Unidad</v>
      </c>
      <c r="D38" s="42">
        <v>20</v>
      </c>
      <c r="E38" s="45">
        <v>179.35</v>
      </c>
      <c r="F38" s="46">
        <f t="shared" ca="1" si="1"/>
        <v>3587</v>
      </c>
    </row>
    <row r="39" spans="1:6" ht="33.75">
      <c r="A39" s="42" t="s">
        <v>54</v>
      </c>
      <c r="B39" s="43" t="str">
        <f t="shared" ca="1" si="0"/>
        <v>Papel para impresora o fotocopiadora</v>
      </c>
      <c r="C39" s="44" t="str">
        <f>IFERROR(VLOOKUP("UD",'[1]Informacion '!P:Q,2,FALSE),"")</f>
        <v>Unidad</v>
      </c>
      <c r="D39" s="42">
        <v>20</v>
      </c>
      <c r="E39" s="45">
        <v>179.35</v>
      </c>
      <c r="F39" s="46">
        <f t="shared" ca="1" si="1"/>
        <v>3587</v>
      </c>
    </row>
    <row r="40" spans="1:6" ht="33.75">
      <c r="A40" s="42" t="s">
        <v>54</v>
      </c>
      <c r="B40" s="43" t="str">
        <f t="shared" ca="1" si="0"/>
        <v>Papel para impresora o fotocopiadora</v>
      </c>
      <c r="C40" s="44" t="str">
        <f>IFERROR(VLOOKUP("UD",'[1]Informacion '!P:Q,2,FALSE),"")</f>
        <v>Unidad</v>
      </c>
      <c r="D40" s="42">
        <v>20</v>
      </c>
      <c r="E40" s="45">
        <v>179.35</v>
      </c>
      <c r="F40" s="46">
        <f t="shared" ca="1" si="1"/>
        <v>3587</v>
      </c>
    </row>
    <row r="41" spans="1:6" ht="33.75">
      <c r="A41" s="42" t="s">
        <v>54</v>
      </c>
      <c r="B41" s="43" t="str">
        <f t="shared" ca="1" si="0"/>
        <v>Papel para impresora o fotocopiadora</v>
      </c>
      <c r="C41" s="44" t="str">
        <f>IFERROR(VLOOKUP("UD",'[1]Informacion '!P:Q,2,FALSE),"")</f>
        <v>Unidad</v>
      </c>
      <c r="D41" s="42">
        <v>20</v>
      </c>
      <c r="E41" s="45">
        <v>179.35</v>
      </c>
      <c r="F41" s="46">
        <f t="shared" ca="1" si="1"/>
        <v>3587</v>
      </c>
    </row>
    <row r="42" spans="1:6" ht="33.75">
      <c r="A42" s="42" t="s">
        <v>54</v>
      </c>
      <c r="B42" s="43" t="str">
        <f t="shared" ca="1" si="0"/>
        <v>Papel para impresora o fotocopiadora</v>
      </c>
      <c r="C42" s="44" t="str">
        <f>IFERROR(VLOOKUP("UD",'[1]Informacion '!P:Q,2,FALSE),"")</f>
        <v>Unidad</v>
      </c>
      <c r="D42" s="42">
        <v>20</v>
      </c>
      <c r="E42" s="45">
        <v>179.35</v>
      </c>
      <c r="F42" s="46">
        <f t="shared" ca="1" si="1"/>
        <v>3587</v>
      </c>
    </row>
    <row r="43" spans="1:6" ht="33.75">
      <c r="A43" s="42" t="s">
        <v>54</v>
      </c>
      <c r="B43" s="43" t="str">
        <f t="shared" ca="1" si="0"/>
        <v>Papel para impresora o fotocopiadora</v>
      </c>
      <c r="C43" s="44" t="str">
        <f>IFERROR(VLOOKUP("UD",'[1]Informacion '!P:Q,2,FALSE),"")</f>
        <v>Unidad</v>
      </c>
      <c r="D43" s="42">
        <v>20</v>
      </c>
      <c r="E43" s="45">
        <v>179.35</v>
      </c>
      <c r="F43" s="46">
        <f t="shared" ca="1" si="1"/>
        <v>3587</v>
      </c>
    </row>
    <row r="44" spans="1:6" ht="33.75">
      <c r="A44" s="42" t="s">
        <v>54</v>
      </c>
      <c r="B44" s="43" t="str">
        <f t="shared" ca="1" si="0"/>
        <v>Papel para impresora o fotocopiadora</v>
      </c>
      <c r="C44" s="44" t="str">
        <f>IFERROR(VLOOKUP("UD",'[1]Informacion '!P:Q,2,FALSE),"")</f>
        <v>Unidad</v>
      </c>
      <c r="D44" s="42">
        <v>20</v>
      </c>
      <c r="E44" s="45">
        <v>179.35</v>
      </c>
      <c r="F44" s="46">
        <f t="shared" ca="1" si="1"/>
        <v>3587</v>
      </c>
    </row>
    <row r="45" spans="1:6" ht="33.75">
      <c r="A45" s="42" t="s">
        <v>54</v>
      </c>
      <c r="B45" s="43" t="str">
        <f t="shared" ca="1" si="0"/>
        <v>Papel para impresora o fotocopiadora</v>
      </c>
      <c r="C45" s="44" t="str">
        <f>IFERROR(VLOOKUP("UD",'[1]Informacion '!P:Q,2,FALSE),"")</f>
        <v>Unidad</v>
      </c>
      <c r="D45" s="42">
        <v>20</v>
      </c>
      <c r="E45" s="45">
        <v>179.35</v>
      </c>
      <c r="F45" s="46">
        <f t="shared" ca="1" si="1"/>
        <v>3587</v>
      </c>
    </row>
    <row r="46" spans="1:6" ht="33.75">
      <c r="A46" s="42" t="s">
        <v>54</v>
      </c>
      <c r="B46" s="43" t="str">
        <f t="shared" ca="1" si="0"/>
        <v>Papel para impresora o fotocopiadora</v>
      </c>
      <c r="C46" s="44" t="str">
        <f>IFERROR(VLOOKUP("UD",'[1]Informacion '!P:Q,2,FALSE),"")</f>
        <v>Unidad</v>
      </c>
      <c r="D46" s="42">
        <v>20</v>
      </c>
      <c r="E46" s="45">
        <v>179.35</v>
      </c>
      <c r="F46" s="46">
        <f t="shared" ca="1" si="1"/>
        <v>3587</v>
      </c>
    </row>
    <row r="47" spans="1:6" ht="33.75">
      <c r="A47" s="42" t="s">
        <v>54</v>
      </c>
      <c r="B47" s="43" t="str">
        <f t="shared" ca="1" si="0"/>
        <v>Papel para impresora o fotocopiadora</v>
      </c>
      <c r="C47" s="44" t="str">
        <f>IFERROR(VLOOKUP("UD",'[1]Informacion '!P:Q,2,FALSE),"")</f>
        <v>Unidad</v>
      </c>
      <c r="D47" s="42">
        <v>20</v>
      </c>
      <c r="E47" s="45">
        <v>179.35</v>
      </c>
      <c r="F47" s="46">
        <f t="shared" ca="1" si="1"/>
        <v>3587</v>
      </c>
    </row>
    <row r="48" spans="1:6" ht="33.75">
      <c r="A48" s="42" t="s">
        <v>54</v>
      </c>
      <c r="B48" s="43" t="str">
        <f t="shared" ca="1" si="0"/>
        <v>Papel para impresora o fotocopiadora</v>
      </c>
      <c r="C48" s="44" t="str">
        <f>IFERROR(VLOOKUP("UD",'[1]Informacion '!P:Q,2,FALSE),"")</f>
        <v>Unidad</v>
      </c>
      <c r="D48" s="42">
        <v>20</v>
      </c>
      <c r="E48" s="45">
        <v>179.35</v>
      </c>
      <c r="F48" s="46">
        <f t="shared" ca="1" si="1"/>
        <v>3587</v>
      </c>
    </row>
    <row r="49" spans="1:6" ht="33.75">
      <c r="A49" s="42" t="s">
        <v>54</v>
      </c>
      <c r="B49" s="43" t="str">
        <f t="shared" ca="1" si="0"/>
        <v>Papel para impresora o fotocopiadora</v>
      </c>
      <c r="C49" s="44" t="str">
        <f>IFERROR(VLOOKUP("UD",'[1]Informacion '!P:Q,2,FALSE),"")</f>
        <v>Unidad</v>
      </c>
      <c r="D49" s="42">
        <v>20</v>
      </c>
      <c r="E49" s="45">
        <v>179.35</v>
      </c>
      <c r="F49" s="46">
        <f t="shared" ca="1" si="1"/>
        <v>3587</v>
      </c>
    </row>
    <row r="50" spans="1:6" ht="33.75">
      <c r="A50" s="42" t="s">
        <v>54</v>
      </c>
      <c r="B50" s="43" t="str">
        <f t="shared" ca="1" si="0"/>
        <v>Papel para impresora o fotocopiadora</v>
      </c>
      <c r="C50" s="44" t="str">
        <f>IFERROR(VLOOKUP("UD",'[1]Informacion '!P:Q,2,FALSE),"")</f>
        <v>Unidad</v>
      </c>
      <c r="D50" s="42">
        <v>20</v>
      </c>
      <c r="E50" s="45">
        <v>179.35</v>
      </c>
      <c r="F50" s="46">
        <f t="shared" ca="1" si="1"/>
        <v>3587</v>
      </c>
    </row>
    <row r="51" spans="1:6" ht="33.75">
      <c r="A51" s="42" t="s">
        <v>54</v>
      </c>
      <c r="B51" s="43" t="str">
        <f t="shared" ca="1" si="0"/>
        <v>Papel para impresora o fotocopiadora</v>
      </c>
      <c r="C51" s="44" t="str">
        <f>IFERROR(VLOOKUP("UD",'[1]Informacion '!P:Q,2,FALSE),"")</f>
        <v>Unidad</v>
      </c>
      <c r="D51" s="42">
        <v>20</v>
      </c>
      <c r="E51" s="45">
        <v>179.35</v>
      </c>
      <c r="F51" s="46">
        <f t="shared" ca="1" si="1"/>
        <v>3587</v>
      </c>
    </row>
    <row r="52" spans="1:6" ht="16.5">
      <c r="A52" s="36"/>
      <c r="B52" s="36"/>
      <c r="C52" s="36"/>
      <c r="D52" s="36"/>
      <c r="E52" s="47" t="s">
        <v>50</v>
      </c>
      <c r="F52" s="48">
        <f ca="1">SUM(Table5[MONTO TOTAL ESTIMADO])</f>
        <v>53805</v>
      </c>
    </row>
    <row r="53" spans="1:6" ht="17.25" thickBot="1">
      <c r="A53" s="36"/>
      <c r="B53" s="36"/>
      <c r="C53" s="36"/>
      <c r="D53" s="36"/>
      <c r="E53" s="36"/>
      <c r="F53" s="36"/>
    </row>
    <row r="54" spans="1:6" ht="34.5" thickBot="1">
      <c r="A54" s="1" t="s">
        <v>0</v>
      </c>
      <c r="B54" s="1" t="s">
        <v>1</v>
      </c>
      <c r="C54" s="1" t="s">
        <v>2</v>
      </c>
      <c r="D54" s="1" t="s">
        <v>3</v>
      </c>
      <c r="E54" s="1" t="s">
        <v>4</v>
      </c>
      <c r="F54" s="1" t="s">
        <v>5</v>
      </c>
    </row>
    <row r="55" spans="1:6" ht="15.75" thickBot="1">
      <c r="A55" s="2" t="s">
        <v>55</v>
      </c>
      <c r="B55" s="2" t="s">
        <v>56</v>
      </c>
      <c r="C55" s="2" t="s">
        <v>40</v>
      </c>
      <c r="D55" s="2" t="s">
        <v>41</v>
      </c>
      <c r="E55" s="2" t="s">
        <v>42</v>
      </c>
      <c r="F55" s="2"/>
    </row>
    <row r="56" spans="1:6" ht="15.75" thickBot="1">
      <c r="A56" s="3" t="s">
        <v>11</v>
      </c>
      <c r="B56" s="4" t="s">
        <v>12</v>
      </c>
      <c r="C56" s="37">
        <v>43222</v>
      </c>
      <c r="D56" s="3" t="s">
        <v>13</v>
      </c>
      <c r="E56" s="38" t="s">
        <v>14</v>
      </c>
      <c r="F56" s="39"/>
    </row>
    <row r="57" spans="1:6" ht="15.75" thickBot="1">
      <c r="A57" s="6"/>
      <c r="B57" s="4" t="s">
        <v>15</v>
      </c>
      <c r="C57" s="40">
        <f>IF(C56="","",IF(AND(MONTH(C56)&gt;=1,MONTH(C56)&lt;=3),1,IF(AND(MONTH(C56)&gt;=4,MONTH(C56)&lt;=6),2,IF(AND(MONTH(C56)&gt;=7,MONTH(C56)&lt;=9),3,4))))</f>
        <v>2</v>
      </c>
      <c r="D57" s="6"/>
      <c r="E57" s="38" t="s">
        <v>16</v>
      </c>
      <c r="F57" s="39"/>
    </row>
    <row r="58" spans="1:6" ht="15.75" thickBot="1">
      <c r="A58" s="6"/>
      <c r="B58" s="4" t="s">
        <v>17</v>
      </c>
      <c r="C58" s="37">
        <v>43223</v>
      </c>
      <c r="D58" s="6"/>
      <c r="E58" s="38" t="s">
        <v>18</v>
      </c>
      <c r="F58" s="39"/>
    </row>
    <row r="59" spans="1:6" ht="15.75" thickBot="1">
      <c r="A59" s="6"/>
      <c r="B59" s="4" t="s">
        <v>15</v>
      </c>
      <c r="C59" s="40">
        <f>IF(C58="","",IF(AND(MONTH(C58)&gt;=1,MONTH(C58)&lt;=3),1,IF(AND(MONTH(C58)&gt;=4,MONTH(C58)&lt;=6),2,IF(AND(MONTH(C58)&gt;=7,MONTH(C58)&lt;=9),3,4))))</f>
        <v>2</v>
      </c>
      <c r="D59" s="6"/>
      <c r="E59" s="38" t="s">
        <v>19</v>
      </c>
      <c r="F59" s="39"/>
    </row>
    <row r="60" spans="1:6" ht="17.25" thickBot="1">
      <c r="A60" s="36"/>
      <c r="B60" s="36"/>
      <c r="C60" s="36"/>
      <c r="D60" s="36"/>
      <c r="E60" s="36"/>
      <c r="F60" s="36"/>
    </row>
    <row r="61" spans="1:6" ht="15.75" thickBot="1">
      <c r="A61" s="41" t="s">
        <v>43</v>
      </c>
      <c r="B61" s="41" t="s">
        <v>44</v>
      </c>
      <c r="C61" s="41" t="s">
        <v>45</v>
      </c>
      <c r="D61" s="41" t="s">
        <v>46</v>
      </c>
      <c r="E61" s="41" t="s">
        <v>47</v>
      </c>
      <c r="F61" s="41" t="s">
        <v>48</v>
      </c>
    </row>
    <row r="62" spans="1:6">
      <c r="A62" s="42" t="s">
        <v>49</v>
      </c>
      <c r="B62" s="43" t="str">
        <f ca="1">IFERROR(INDEX(UNSPSCDes,MATCH(INDIRECT(ADDRESS(ROW(),COLUMN()-1,4)),UNSPSCCode,0)),IF(INDIRECT(ADDRESS(ROW(),COLUMN()-1,4))="15101506","Gasolina",""))</f>
        <v>Gasolina</v>
      </c>
      <c r="C62" s="44" t="str">
        <f>IFERROR(VLOOKUP("UD",'[1]Informacion '!P:Q,2,FALSE),"")</f>
        <v>Unidad</v>
      </c>
      <c r="D62" s="42">
        <v>25</v>
      </c>
      <c r="E62" s="45">
        <v>1000</v>
      </c>
      <c r="F62" s="46">
        <f ca="1">INDIRECT(ADDRESS(ROW(),COLUMN()-2,4))*INDIRECT(ADDRESS(ROW(),COLUMN()-1,4))</f>
        <v>25000</v>
      </c>
    </row>
    <row r="63" spans="1:6">
      <c r="A63" s="42" t="s">
        <v>49</v>
      </c>
      <c r="B63" s="43" t="str">
        <f ca="1">IFERROR(INDEX(UNSPSCDes,MATCH(INDIRECT(ADDRESS(ROW(),COLUMN()-1,4)),UNSPSCCode,0)),IF(INDIRECT(ADDRESS(ROW(),COLUMN()-1,4))="15101506","Gasolina",""))</f>
        <v>Gasolina</v>
      </c>
      <c r="C63" s="44" t="str">
        <f>IFERROR(VLOOKUP("UD",'[1]Informacion '!P:Q,2,FALSE),"")</f>
        <v>Unidad</v>
      </c>
      <c r="D63" s="42">
        <v>200</v>
      </c>
      <c r="E63" s="45">
        <v>500</v>
      </c>
      <c r="F63" s="46">
        <f ca="1">INDIRECT(ADDRESS(ROW(),COLUMN()-2,4))*INDIRECT(ADDRESS(ROW(),COLUMN()-1,4))</f>
        <v>100000</v>
      </c>
    </row>
    <row r="64" spans="1:6">
      <c r="A64" s="42" t="s">
        <v>49</v>
      </c>
      <c r="B64" s="43" t="str">
        <f ca="1">IFERROR(INDEX(UNSPSCDes,MATCH(INDIRECT(ADDRESS(ROW(),COLUMN()-1,4)),UNSPSCCode,0)),IF(INDIRECT(ADDRESS(ROW(),COLUMN()-1,4))="15101506","Gasolina",""))</f>
        <v>Gasolina</v>
      </c>
      <c r="C64" s="44" t="str">
        <f>IFERROR(VLOOKUP("UD",'[1]Informacion '!P:Q,2,FALSE),"")</f>
        <v>Unidad</v>
      </c>
      <c r="D64" s="42">
        <v>250</v>
      </c>
      <c r="E64" s="45">
        <v>200</v>
      </c>
      <c r="F64" s="46">
        <f ca="1">INDIRECT(ADDRESS(ROW(),COLUMN()-2,4))*INDIRECT(ADDRESS(ROW(),COLUMN()-1,4))</f>
        <v>50000</v>
      </c>
    </row>
    <row r="65" spans="1:6">
      <c r="A65" s="42" t="s">
        <v>49</v>
      </c>
      <c r="B65" s="43" t="str">
        <f ca="1">IFERROR(INDEX(UNSPSCDes,MATCH(INDIRECT(ADDRESS(ROW(),COLUMN()-1,4)),UNSPSCCode,0)),IF(INDIRECT(ADDRESS(ROW(),COLUMN()-1,4))="15101506","Gasolina",""))</f>
        <v>Gasolina</v>
      </c>
      <c r="C65" s="44" t="str">
        <f>IFERROR(VLOOKUP("UD",'[1]Informacion '!P:Q,2,FALSE),"")</f>
        <v>Unidad</v>
      </c>
      <c r="D65" s="42">
        <v>150</v>
      </c>
      <c r="E65" s="45">
        <v>100</v>
      </c>
      <c r="F65" s="46">
        <f ca="1">INDIRECT(ADDRESS(ROW(),COLUMN()-2,4))*INDIRECT(ADDRESS(ROW(),COLUMN()-1,4))</f>
        <v>15000</v>
      </c>
    </row>
    <row r="66" spans="1:6" ht="16.5">
      <c r="A66" s="36"/>
      <c r="B66" s="36"/>
      <c r="C66" s="36"/>
      <c r="D66" s="36"/>
      <c r="E66" s="47" t="s">
        <v>50</v>
      </c>
      <c r="F66" s="48">
        <f ca="1">SUM(Table6[MONTO TOTAL ESTIMADO])</f>
        <v>190000</v>
      </c>
    </row>
    <row r="67" spans="1:6" ht="17.25" thickBot="1">
      <c r="A67" s="36"/>
      <c r="B67" s="36"/>
      <c r="C67" s="36"/>
      <c r="D67" s="36"/>
      <c r="E67" s="36"/>
      <c r="F67" s="36"/>
    </row>
    <row r="68" spans="1:6" ht="34.5" thickBot="1">
      <c r="A68" s="1" t="s">
        <v>0</v>
      </c>
      <c r="B68" s="1" t="s">
        <v>1</v>
      </c>
      <c r="C68" s="1" t="s">
        <v>2</v>
      </c>
      <c r="D68" s="1" t="s">
        <v>3</v>
      </c>
      <c r="E68" s="1" t="s">
        <v>4</v>
      </c>
      <c r="F68" s="1" t="s">
        <v>5</v>
      </c>
    </row>
    <row r="69" spans="1:6" ht="15.75" thickBot="1">
      <c r="A69" s="2" t="s">
        <v>55</v>
      </c>
      <c r="B69" s="2" t="s">
        <v>57</v>
      </c>
      <c r="C69" s="2" t="s">
        <v>40</v>
      </c>
      <c r="D69" s="2" t="s">
        <v>41</v>
      </c>
      <c r="E69" s="2" t="s">
        <v>42</v>
      </c>
      <c r="F69" s="2"/>
    </row>
    <row r="70" spans="1:6" ht="15.75" thickBot="1">
      <c r="A70" s="3" t="s">
        <v>11</v>
      </c>
      <c r="B70" s="4" t="s">
        <v>12</v>
      </c>
      <c r="C70" s="37">
        <v>43253</v>
      </c>
      <c r="D70" s="3" t="s">
        <v>13</v>
      </c>
      <c r="E70" s="38" t="s">
        <v>14</v>
      </c>
      <c r="F70" s="39"/>
    </row>
    <row r="71" spans="1:6" ht="15.75" thickBot="1">
      <c r="A71" s="6"/>
      <c r="B71" s="4" t="s">
        <v>15</v>
      </c>
      <c r="C71" s="40">
        <f>IF(C70="","",IF(AND(MONTH(C70)&gt;=1,MONTH(C70)&lt;=3),1,IF(AND(MONTH(C70)&gt;=4,MONTH(C70)&lt;=6),2,IF(AND(MONTH(C70)&gt;=7,MONTH(C70)&lt;=9),3,4))))</f>
        <v>2</v>
      </c>
      <c r="D71" s="6"/>
      <c r="E71" s="38" t="s">
        <v>16</v>
      </c>
      <c r="F71" s="39"/>
    </row>
    <row r="72" spans="1:6" ht="15.75" thickBot="1">
      <c r="A72" s="6"/>
      <c r="B72" s="4" t="s">
        <v>17</v>
      </c>
      <c r="C72" s="37">
        <v>43256</v>
      </c>
      <c r="D72" s="6"/>
      <c r="E72" s="38" t="s">
        <v>18</v>
      </c>
      <c r="F72" s="39"/>
    </row>
    <row r="73" spans="1:6" ht="15.75" thickBot="1">
      <c r="A73" s="6"/>
      <c r="B73" s="4" t="s">
        <v>15</v>
      </c>
      <c r="C73" s="40">
        <f>IF(C72="","",IF(AND(MONTH(C72)&gt;=1,MONTH(C72)&lt;=3),1,IF(AND(MONTH(C72)&gt;=4,MONTH(C72)&lt;=6),2,IF(AND(MONTH(C72)&gt;=7,MONTH(C72)&lt;=9),3,4))))</f>
        <v>2</v>
      </c>
      <c r="D73" s="6"/>
      <c r="E73" s="38" t="s">
        <v>19</v>
      </c>
      <c r="F73" s="39"/>
    </row>
    <row r="74" spans="1:6" ht="17.25" thickBot="1">
      <c r="A74" s="36"/>
      <c r="B74" s="36"/>
      <c r="C74" s="36"/>
      <c r="D74" s="36"/>
      <c r="E74" s="36"/>
      <c r="F74" s="36"/>
    </row>
    <row r="75" spans="1:6" ht="15.75" thickBot="1">
      <c r="A75" s="41" t="s">
        <v>43</v>
      </c>
      <c r="B75" s="41" t="s">
        <v>44</v>
      </c>
      <c r="C75" s="41" t="s">
        <v>45</v>
      </c>
      <c r="D75" s="41" t="s">
        <v>46</v>
      </c>
      <c r="E75" s="41" t="s">
        <v>47</v>
      </c>
      <c r="F75" s="41" t="s">
        <v>48</v>
      </c>
    </row>
    <row r="76" spans="1:6">
      <c r="A76" s="42" t="s">
        <v>49</v>
      </c>
      <c r="B76" s="43" t="str">
        <f ca="1">IFERROR(INDEX(UNSPSCDes,MATCH(INDIRECT(ADDRESS(ROW(),COLUMN()-1,4)),UNSPSCCode,0)),IF(INDIRECT(ADDRESS(ROW(),COLUMN()-1,4))="15101506","Gasolina",""))</f>
        <v>Gasolina</v>
      </c>
      <c r="C76" s="44" t="str">
        <f>IFERROR(VLOOKUP("UD",'[1]Informacion '!P:Q,2,FALSE),"")</f>
        <v>Unidad</v>
      </c>
      <c r="D76" s="42">
        <v>25</v>
      </c>
      <c r="E76" s="45">
        <v>1000</v>
      </c>
      <c r="F76" s="46">
        <f ca="1">INDIRECT(ADDRESS(ROW(),COLUMN()-2,4))*INDIRECT(ADDRESS(ROW(),COLUMN()-1,4))</f>
        <v>25000</v>
      </c>
    </row>
    <row r="77" spans="1:6">
      <c r="A77" s="42" t="s">
        <v>49</v>
      </c>
      <c r="B77" s="43" t="str">
        <f ca="1">IFERROR(INDEX(UNSPSCDes,MATCH(INDIRECT(ADDRESS(ROW(),COLUMN()-1,4)),UNSPSCCode,0)),IF(INDIRECT(ADDRESS(ROW(),COLUMN()-1,4))="15101506","Gasolina",""))</f>
        <v>Gasolina</v>
      </c>
      <c r="C77" s="44" t="str">
        <f>IFERROR(VLOOKUP("UD",'[1]Informacion '!P:Q,2,FALSE),"")</f>
        <v>Unidad</v>
      </c>
      <c r="D77" s="42">
        <v>200</v>
      </c>
      <c r="E77" s="45">
        <v>500</v>
      </c>
      <c r="F77" s="46">
        <f ca="1">INDIRECT(ADDRESS(ROW(),COLUMN()-2,4))*INDIRECT(ADDRESS(ROW(),COLUMN()-1,4))</f>
        <v>100000</v>
      </c>
    </row>
    <row r="78" spans="1:6">
      <c r="A78" s="42" t="s">
        <v>49</v>
      </c>
      <c r="B78" s="43" t="str">
        <f ca="1">IFERROR(INDEX(UNSPSCDes,MATCH(INDIRECT(ADDRESS(ROW(),COLUMN()-1,4)),UNSPSCCode,0)),IF(INDIRECT(ADDRESS(ROW(),COLUMN()-1,4))="15101506","Gasolina",""))</f>
        <v>Gasolina</v>
      </c>
      <c r="C78" s="44" t="str">
        <f>IFERROR(VLOOKUP("UD",'[1]Informacion '!P:Q,2,FALSE),"")</f>
        <v>Unidad</v>
      </c>
      <c r="D78" s="42">
        <v>250</v>
      </c>
      <c r="E78" s="45">
        <v>200</v>
      </c>
      <c r="F78" s="46">
        <f ca="1">INDIRECT(ADDRESS(ROW(),COLUMN()-2,4))*INDIRECT(ADDRESS(ROW(),COLUMN()-1,4))</f>
        <v>50000</v>
      </c>
    </row>
    <row r="79" spans="1:6">
      <c r="A79" s="42" t="s">
        <v>49</v>
      </c>
      <c r="B79" s="43" t="str">
        <f ca="1">IFERROR(INDEX(UNSPSCDes,MATCH(INDIRECT(ADDRESS(ROW(),COLUMN()-1,4)),UNSPSCCode,0)),IF(INDIRECT(ADDRESS(ROW(),COLUMN()-1,4))="15101506","Gasolina",""))</f>
        <v>Gasolina</v>
      </c>
      <c r="C79" s="44" t="str">
        <f>IFERROR(VLOOKUP("UD",'[1]Informacion '!P:Q,2,FALSE),"")</f>
        <v>Unidad</v>
      </c>
      <c r="D79" s="42">
        <v>150</v>
      </c>
      <c r="E79" s="45">
        <v>100</v>
      </c>
      <c r="F79" s="46">
        <f ca="1">INDIRECT(ADDRESS(ROW(),COLUMN()-2,4))*INDIRECT(ADDRESS(ROW(),COLUMN()-1,4))</f>
        <v>15000</v>
      </c>
    </row>
    <row r="80" spans="1:6" ht="16.5">
      <c r="A80" s="36"/>
      <c r="B80" s="36"/>
      <c r="C80" s="36"/>
      <c r="D80" s="36"/>
      <c r="E80" s="47" t="s">
        <v>50</v>
      </c>
      <c r="F80" s="48">
        <f ca="1">SUM(Table7[MONTO TOTAL ESTIMADO])</f>
        <v>190000</v>
      </c>
    </row>
    <row r="81" spans="1:6" ht="17.25" thickBot="1">
      <c r="A81" s="36"/>
      <c r="B81" s="36"/>
      <c r="C81" s="36"/>
      <c r="D81" s="36"/>
      <c r="E81" s="36"/>
      <c r="F81" s="36"/>
    </row>
    <row r="82" spans="1:6" ht="34.5" thickBot="1">
      <c r="A82" s="1" t="s">
        <v>0</v>
      </c>
      <c r="B82" s="1" t="s">
        <v>1</v>
      </c>
      <c r="C82" s="1" t="s">
        <v>2</v>
      </c>
      <c r="D82" s="1" t="s">
        <v>3</v>
      </c>
      <c r="E82" s="1" t="s">
        <v>4</v>
      </c>
      <c r="F82" s="1" t="s">
        <v>5</v>
      </c>
    </row>
    <row r="83" spans="1:6" ht="15.75" thickBot="1">
      <c r="A83" s="2" t="s">
        <v>58</v>
      </c>
      <c r="B83" s="2" t="s">
        <v>59</v>
      </c>
      <c r="C83" s="2" t="s">
        <v>40</v>
      </c>
      <c r="D83" s="2" t="s">
        <v>41</v>
      </c>
      <c r="E83" s="2" t="s">
        <v>42</v>
      </c>
      <c r="F83" s="2"/>
    </row>
    <row r="84" spans="1:6" ht="15.75" thickBot="1">
      <c r="A84" s="3" t="s">
        <v>11</v>
      </c>
      <c r="B84" s="4" t="s">
        <v>12</v>
      </c>
      <c r="C84" s="37">
        <v>43284</v>
      </c>
      <c r="D84" s="3" t="s">
        <v>13</v>
      </c>
      <c r="E84" s="38" t="s">
        <v>14</v>
      </c>
      <c r="F84" s="39"/>
    </row>
    <row r="85" spans="1:6" ht="15.75" thickBot="1">
      <c r="A85" s="6"/>
      <c r="B85" s="4" t="s">
        <v>15</v>
      </c>
      <c r="C85" s="40">
        <f>IF(C84="","",IF(AND(MONTH(C84)&gt;=1,MONTH(C84)&lt;=3),1,IF(AND(MONTH(C84)&gt;=4,MONTH(C84)&lt;=6),2,IF(AND(MONTH(C84)&gt;=7,MONTH(C84)&lt;=9),3,4))))</f>
        <v>3</v>
      </c>
      <c r="D85" s="6"/>
      <c r="E85" s="38" t="s">
        <v>16</v>
      </c>
      <c r="F85" s="39"/>
    </row>
    <row r="86" spans="1:6" ht="15.75" thickBot="1">
      <c r="A86" s="6"/>
      <c r="B86" s="4" t="s">
        <v>17</v>
      </c>
      <c r="C86" s="37">
        <v>43285</v>
      </c>
      <c r="D86" s="6"/>
      <c r="E86" s="38" t="s">
        <v>18</v>
      </c>
      <c r="F86" s="39"/>
    </row>
    <row r="87" spans="1:6" ht="15.75" thickBot="1">
      <c r="A87" s="6"/>
      <c r="B87" s="4" t="s">
        <v>15</v>
      </c>
      <c r="C87" s="40">
        <f>IF(C86="","",IF(AND(MONTH(C86)&gt;=1,MONTH(C86)&lt;=3),1,IF(AND(MONTH(C86)&gt;=4,MONTH(C86)&lt;=6),2,IF(AND(MONTH(C86)&gt;=7,MONTH(C86)&lt;=9),3,4))))</f>
        <v>3</v>
      </c>
      <c r="D87" s="6"/>
      <c r="E87" s="38" t="s">
        <v>19</v>
      </c>
      <c r="F87" s="39"/>
    </row>
    <row r="88" spans="1:6" ht="17.25" thickBot="1">
      <c r="A88" s="36"/>
      <c r="B88" s="36"/>
      <c r="C88" s="36"/>
      <c r="D88" s="36"/>
      <c r="E88" s="36"/>
      <c r="F88" s="36"/>
    </row>
    <row r="89" spans="1:6" ht="15.75" thickBot="1">
      <c r="A89" s="41" t="s">
        <v>43</v>
      </c>
      <c r="B89" s="41" t="s">
        <v>44</v>
      </c>
      <c r="C89" s="41" t="s">
        <v>45</v>
      </c>
      <c r="D89" s="41" t="s">
        <v>46</v>
      </c>
      <c r="E89" s="41" t="s">
        <v>47</v>
      </c>
      <c r="F89" s="41" t="s">
        <v>48</v>
      </c>
    </row>
    <row r="90" spans="1:6">
      <c r="A90" s="42" t="s">
        <v>49</v>
      </c>
      <c r="B90" s="43" t="str">
        <f ca="1">IFERROR(INDEX(UNSPSCDes,MATCH(INDIRECT(ADDRESS(ROW(),COLUMN()-1,4)),UNSPSCCode,0)),IF(INDIRECT(ADDRESS(ROW(),COLUMN()-1,4))="15101506","Gasolina",""))</f>
        <v>Gasolina</v>
      </c>
      <c r="C90" s="44" t="str">
        <f>IFERROR(VLOOKUP("UD",'[1]Informacion '!P:Q,2,FALSE),"")</f>
        <v>Unidad</v>
      </c>
      <c r="D90" s="42">
        <v>25</v>
      </c>
      <c r="E90" s="45">
        <v>1000</v>
      </c>
      <c r="F90" s="46">
        <f ca="1">INDIRECT(ADDRESS(ROW(),COLUMN()-2,4))*INDIRECT(ADDRESS(ROW(),COLUMN()-1,4))</f>
        <v>25000</v>
      </c>
    </row>
    <row r="91" spans="1:6">
      <c r="A91" s="42" t="s">
        <v>49</v>
      </c>
      <c r="B91" s="43" t="str">
        <f ca="1">IFERROR(INDEX(UNSPSCDes,MATCH(INDIRECT(ADDRESS(ROW(),COLUMN()-1,4)),UNSPSCCode,0)),IF(INDIRECT(ADDRESS(ROW(),COLUMN()-1,4))="15101506","Gasolina",""))</f>
        <v>Gasolina</v>
      </c>
      <c r="C91" s="44" t="str">
        <f>IFERROR(VLOOKUP("UD",'[1]Informacion '!P:Q,2,FALSE),"")</f>
        <v>Unidad</v>
      </c>
      <c r="D91" s="42">
        <v>200</v>
      </c>
      <c r="E91" s="45">
        <v>500</v>
      </c>
      <c r="F91" s="46">
        <f ca="1">INDIRECT(ADDRESS(ROW(),COLUMN()-2,4))*INDIRECT(ADDRESS(ROW(),COLUMN()-1,4))</f>
        <v>100000</v>
      </c>
    </row>
    <row r="92" spans="1:6">
      <c r="A92" s="42" t="s">
        <v>49</v>
      </c>
      <c r="B92" s="43" t="str">
        <f ca="1">IFERROR(INDEX(UNSPSCDes,MATCH(INDIRECT(ADDRESS(ROW(),COLUMN()-1,4)),UNSPSCCode,0)),IF(INDIRECT(ADDRESS(ROW(),COLUMN()-1,4))="15101506","Gasolina",""))</f>
        <v>Gasolina</v>
      </c>
      <c r="C92" s="44" t="str">
        <f>IFERROR(VLOOKUP("UD",'[1]Informacion '!P:Q,2,FALSE),"")</f>
        <v>Unidad</v>
      </c>
      <c r="D92" s="42">
        <v>250</v>
      </c>
      <c r="E92" s="45">
        <v>200</v>
      </c>
      <c r="F92" s="46">
        <f ca="1">INDIRECT(ADDRESS(ROW(),COLUMN()-2,4))*INDIRECT(ADDRESS(ROW(),COLUMN()-1,4))</f>
        <v>50000</v>
      </c>
    </row>
    <row r="93" spans="1:6">
      <c r="A93" s="42" t="s">
        <v>49</v>
      </c>
      <c r="B93" s="43" t="str">
        <f ca="1">IFERROR(INDEX(UNSPSCDes,MATCH(INDIRECT(ADDRESS(ROW(),COLUMN()-1,4)),UNSPSCCode,0)),IF(INDIRECT(ADDRESS(ROW(),COLUMN()-1,4))="15101506","Gasolina",""))</f>
        <v>Gasolina</v>
      </c>
      <c r="C93" s="44" t="str">
        <f>IFERROR(VLOOKUP("UD",'[1]Informacion '!P:Q,2,FALSE),"")</f>
        <v>Unidad</v>
      </c>
      <c r="D93" s="42">
        <v>150</v>
      </c>
      <c r="E93" s="45">
        <v>100</v>
      </c>
      <c r="F93" s="46">
        <f ca="1">INDIRECT(ADDRESS(ROW(),COLUMN()-2,4))*INDIRECT(ADDRESS(ROW(),COLUMN()-1,4))</f>
        <v>15000</v>
      </c>
    </row>
    <row r="94" spans="1:6" ht="16.5">
      <c r="A94" s="36"/>
      <c r="B94" s="36"/>
      <c r="C94" s="36"/>
      <c r="D94" s="36"/>
      <c r="E94" s="47" t="s">
        <v>50</v>
      </c>
      <c r="F94" s="48">
        <f ca="1">SUM(Table8[MONTO TOTAL ESTIMADO])</f>
        <v>190000</v>
      </c>
    </row>
    <row r="95" spans="1:6" ht="17.25" thickBot="1">
      <c r="A95" s="36"/>
      <c r="B95" s="36"/>
      <c r="C95" s="36"/>
      <c r="D95" s="36"/>
      <c r="E95" s="36"/>
      <c r="F95" s="36"/>
    </row>
    <row r="96" spans="1:6" ht="34.5" thickBot="1">
      <c r="A96" s="1" t="s">
        <v>0</v>
      </c>
      <c r="B96" s="1" t="s">
        <v>1</v>
      </c>
      <c r="C96" s="1" t="s">
        <v>2</v>
      </c>
      <c r="D96" s="1" t="s">
        <v>3</v>
      </c>
      <c r="E96" s="1" t="s">
        <v>4</v>
      </c>
      <c r="F96" s="1" t="s">
        <v>5</v>
      </c>
    </row>
    <row r="97" spans="1:6" ht="15.75" thickBot="1">
      <c r="A97" s="2" t="s">
        <v>58</v>
      </c>
      <c r="B97" s="2" t="s">
        <v>59</v>
      </c>
      <c r="C97" s="2" t="s">
        <v>40</v>
      </c>
      <c r="D97" s="2" t="s">
        <v>41</v>
      </c>
      <c r="E97" s="2" t="s">
        <v>42</v>
      </c>
      <c r="F97" s="2"/>
    </row>
    <row r="98" spans="1:6" ht="15.75" thickBot="1">
      <c r="A98" s="3" t="s">
        <v>11</v>
      </c>
      <c r="B98" s="4" t="s">
        <v>12</v>
      </c>
      <c r="C98" s="37">
        <v>43314</v>
      </c>
      <c r="D98" s="3" t="s">
        <v>13</v>
      </c>
      <c r="E98" s="38" t="s">
        <v>14</v>
      </c>
      <c r="F98" s="39"/>
    </row>
    <row r="99" spans="1:6" ht="15.75" thickBot="1">
      <c r="A99" s="6"/>
      <c r="B99" s="4" t="s">
        <v>15</v>
      </c>
      <c r="C99" s="40">
        <f>IF(C98="","",IF(AND(MONTH(C98)&gt;=1,MONTH(C98)&lt;=3),1,IF(AND(MONTH(C98)&gt;=4,MONTH(C98)&lt;=6),2,IF(AND(MONTH(C98)&gt;=7,MONTH(C98)&lt;=9),3,4))))</f>
        <v>3</v>
      </c>
      <c r="D99" s="6"/>
      <c r="E99" s="38" t="s">
        <v>16</v>
      </c>
      <c r="F99" s="39"/>
    </row>
    <row r="100" spans="1:6" ht="15.75" thickBot="1">
      <c r="A100" s="6"/>
      <c r="B100" s="4" t="s">
        <v>17</v>
      </c>
      <c r="C100" s="37">
        <v>43315</v>
      </c>
      <c r="D100" s="6"/>
      <c r="E100" s="38" t="s">
        <v>18</v>
      </c>
      <c r="F100" s="39"/>
    </row>
    <row r="101" spans="1:6" ht="15.75" thickBot="1">
      <c r="A101" s="6"/>
      <c r="B101" s="4" t="s">
        <v>15</v>
      </c>
      <c r="C101" s="40">
        <f>IF(C100="","",IF(AND(MONTH(C100)&gt;=1,MONTH(C100)&lt;=3),1,IF(AND(MONTH(C100)&gt;=4,MONTH(C100)&lt;=6),2,IF(AND(MONTH(C100)&gt;=7,MONTH(C100)&lt;=9),3,4))))</f>
        <v>3</v>
      </c>
      <c r="D101" s="6"/>
      <c r="E101" s="38" t="s">
        <v>19</v>
      </c>
      <c r="F101" s="39"/>
    </row>
    <row r="102" spans="1:6" ht="17.25" thickBot="1">
      <c r="A102" s="36"/>
      <c r="B102" s="36"/>
      <c r="C102" s="36"/>
      <c r="D102" s="36"/>
      <c r="E102" s="36"/>
      <c r="F102" s="36"/>
    </row>
    <row r="103" spans="1:6" ht="15.75" thickBot="1">
      <c r="A103" s="41" t="s">
        <v>43</v>
      </c>
      <c r="B103" s="41" t="s">
        <v>44</v>
      </c>
      <c r="C103" s="41" t="s">
        <v>45</v>
      </c>
      <c r="D103" s="41" t="s">
        <v>46</v>
      </c>
      <c r="E103" s="41" t="s">
        <v>47</v>
      </c>
      <c r="F103" s="41" t="s">
        <v>48</v>
      </c>
    </row>
    <row r="104" spans="1:6">
      <c r="A104" s="42" t="s">
        <v>49</v>
      </c>
      <c r="B104" s="43" t="str">
        <f ca="1">IFERROR(INDEX(UNSPSCDes,MATCH(INDIRECT(ADDRESS(ROW(),COLUMN()-1,4)),UNSPSCCode,0)),IF(INDIRECT(ADDRESS(ROW(),COLUMN()-1,4))="15101506","Gasolina",""))</f>
        <v>Gasolina</v>
      </c>
      <c r="C104" s="44" t="str">
        <f>IFERROR(VLOOKUP("UD",'[1]Informacion '!P:Q,2,FALSE),"")</f>
        <v>Unidad</v>
      </c>
      <c r="D104" s="42">
        <v>25</v>
      </c>
      <c r="E104" s="45">
        <v>1000</v>
      </c>
      <c r="F104" s="46">
        <f ca="1">INDIRECT(ADDRESS(ROW(),COLUMN()-2,4))*INDIRECT(ADDRESS(ROW(),COLUMN()-1,4))</f>
        <v>25000</v>
      </c>
    </row>
    <row r="105" spans="1:6">
      <c r="A105" s="42" t="s">
        <v>49</v>
      </c>
      <c r="B105" s="43" t="str">
        <f ca="1">IFERROR(INDEX(UNSPSCDes,MATCH(INDIRECT(ADDRESS(ROW(),COLUMN()-1,4)),UNSPSCCode,0)),IF(INDIRECT(ADDRESS(ROW(),COLUMN()-1,4))="15101506","Gasolina",""))</f>
        <v>Gasolina</v>
      </c>
      <c r="C105" s="44" t="str">
        <f>IFERROR(VLOOKUP("UD",'[1]Informacion '!P:Q,2,FALSE),"")</f>
        <v>Unidad</v>
      </c>
      <c r="D105" s="42">
        <v>200</v>
      </c>
      <c r="E105" s="45">
        <v>500</v>
      </c>
      <c r="F105" s="46">
        <f ca="1">INDIRECT(ADDRESS(ROW(),COLUMN()-2,4))*INDIRECT(ADDRESS(ROW(),COLUMN()-1,4))</f>
        <v>100000</v>
      </c>
    </row>
    <row r="106" spans="1:6">
      <c r="A106" s="42" t="s">
        <v>49</v>
      </c>
      <c r="B106" s="43" t="str">
        <f ca="1">IFERROR(INDEX(UNSPSCDes,MATCH(INDIRECT(ADDRESS(ROW(),COLUMN()-1,4)),UNSPSCCode,0)),IF(INDIRECT(ADDRESS(ROW(),COLUMN()-1,4))="15101506","Gasolina",""))</f>
        <v>Gasolina</v>
      </c>
      <c r="C106" s="44" t="str">
        <f>IFERROR(VLOOKUP("UD",'[1]Informacion '!P:Q,2,FALSE),"")</f>
        <v>Unidad</v>
      </c>
      <c r="D106" s="42">
        <v>250</v>
      </c>
      <c r="E106" s="45">
        <v>200</v>
      </c>
      <c r="F106" s="46">
        <f ca="1">INDIRECT(ADDRESS(ROW(),COLUMN()-2,4))*INDIRECT(ADDRESS(ROW(),COLUMN()-1,4))</f>
        <v>50000</v>
      </c>
    </row>
    <row r="107" spans="1:6">
      <c r="A107" s="42" t="s">
        <v>49</v>
      </c>
      <c r="B107" s="43" t="str">
        <f ca="1">IFERROR(INDEX(UNSPSCDes,MATCH(INDIRECT(ADDRESS(ROW(),COLUMN()-1,4)),UNSPSCCode,0)),IF(INDIRECT(ADDRESS(ROW(),COLUMN()-1,4))="15101506","Gasolina",""))</f>
        <v>Gasolina</v>
      </c>
      <c r="C107" s="44" t="str">
        <f>IFERROR(VLOOKUP("UD",'[1]Informacion '!P:Q,2,FALSE),"")</f>
        <v>Unidad</v>
      </c>
      <c r="D107" s="42">
        <v>150</v>
      </c>
      <c r="E107" s="45">
        <v>100</v>
      </c>
      <c r="F107" s="46">
        <f ca="1">INDIRECT(ADDRESS(ROW(),COLUMN()-2,4))*INDIRECT(ADDRESS(ROW(),COLUMN()-1,4))</f>
        <v>15000</v>
      </c>
    </row>
    <row r="108" spans="1:6" ht="16.5">
      <c r="A108" s="36"/>
      <c r="B108" s="36"/>
      <c r="C108" s="36"/>
      <c r="D108" s="36"/>
      <c r="E108" s="47" t="s">
        <v>50</v>
      </c>
      <c r="F108" s="48">
        <f ca="1">SUM(Table9[MONTO TOTAL ESTIMADO])</f>
        <v>190000</v>
      </c>
    </row>
    <row r="109" spans="1:6" ht="17.25" thickBot="1">
      <c r="A109" s="36"/>
      <c r="B109" s="36"/>
      <c r="C109" s="36"/>
      <c r="D109" s="36"/>
      <c r="E109" s="36"/>
      <c r="F109" s="36"/>
    </row>
    <row r="110" spans="1:6" ht="34.5" thickBot="1">
      <c r="A110" s="1" t="s">
        <v>0</v>
      </c>
      <c r="B110" s="1" t="s">
        <v>1</v>
      </c>
      <c r="C110" s="1" t="s">
        <v>2</v>
      </c>
      <c r="D110" s="1" t="s">
        <v>3</v>
      </c>
      <c r="E110" s="1" t="s">
        <v>4</v>
      </c>
      <c r="F110" s="1" t="s">
        <v>5</v>
      </c>
    </row>
    <row r="111" spans="1:6" ht="15.75" thickBot="1">
      <c r="A111" s="2" t="s">
        <v>60</v>
      </c>
      <c r="B111" s="2" t="s">
        <v>61</v>
      </c>
      <c r="C111" s="2" t="s">
        <v>40</v>
      </c>
      <c r="D111" s="2" t="s">
        <v>62</v>
      </c>
      <c r="E111" s="2" t="s">
        <v>63</v>
      </c>
      <c r="F111" s="2"/>
    </row>
    <row r="112" spans="1:6" ht="15.75" thickBot="1">
      <c r="A112" s="3" t="s">
        <v>11</v>
      </c>
      <c r="B112" s="4" t="s">
        <v>12</v>
      </c>
      <c r="C112" s="37">
        <v>43222</v>
      </c>
      <c r="D112" s="3" t="s">
        <v>13</v>
      </c>
      <c r="E112" s="38" t="s">
        <v>14</v>
      </c>
      <c r="F112" s="39"/>
    </row>
    <row r="113" spans="1:6" ht="15.75" thickBot="1">
      <c r="A113" s="6"/>
      <c r="B113" s="4" t="s">
        <v>15</v>
      </c>
      <c r="C113" s="40">
        <f>IF(C112="","",IF(AND(MONTH(C112)&gt;=1,MONTH(C112)&lt;=3),1,IF(AND(MONTH(C112)&gt;=4,MONTH(C112)&lt;=6),2,IF(AND(MONTH(C112)&gt;=7,MONTH(C112)&lt;=9),3,4))))</f>
        <v>2</v>
      </c>
      <c r="D113" s="6"/>
      <c r="E113" s="38" t="s">
        <v>16</v>
      </c>
      <c r="F113" s="39"/>
    </row>
    <row r="114" spans="1:6" ht="15.75" thickBot="1">
      <c r="A114" s="6"/>
      <c r="B114" s="4" t="s">
        <v>17</v>
      </c>
      <c r="C114" s="37">
        <v>43223</v>
      </c>
      <c r="D114" s="6"/>
      <c r="E114" s="38" t="s">
        <v>18</v>
      </c>
      <c r="F114" s="39"/>
    </row>
    <row r="115" spans="1:6" ht="15.75" thickBot="1">
      <c r="A115" s="6"/>
      <c r="B115" s="4" t="s">
        <v>15</v>
      </c>
      <c r="C115" s="40">
        <f>IF(C114="","",IF(AND(MONTH(C114)&gt;=1,MONTH(C114)&lt;=3),1,IF(AND(MONTH(C114)&gt;=4,MONTH(C114)&lt;=6),2,IF(AND(MONTH(C114)&gt;=7,MONTH(C114)&lt;=9),3,4))))</f>
        <v>2</v>
      </c>
      <c r="D115" s="6"/>
      <c r="E115" s="38" t="s">
        <v>19</v>
      </c>
      <c r="F115" s="39"/>
    </row>
    <row r="116" spans="1:6" ht="17.25" thickBot="1">
      <c r="A116" s="36"/>
      <c r="B116" s="36"/>
      <c r="C116" s="36"/>
      <c r="D116" s="36"/>
      <c r="E116" s="36"/>
      <c r="F116" s="36"/>
    </row>
    <row r="117" spans="1:6" ht="15.75" thickBot="1">
      <c r="A117" s="41" t="s">
        <v>43</v>
      </c>
      <c r="B117" s="41" t="s">
        <v>44</v>
      </c>
      <c r="C117" s="41" t="s">
        <v>45</v>
      </c>
      <c r="D117" s="41" t="s">
        <v>46</v>
      </c>
      <c r="E117" s="41" t="s">
        <v>47</v>
      </c>
      <c r="F117" s="41" t="s">
        <v>48</v>
      </c>
    </row>
    <row r="118" spans="1:6">
      <c r="A118" s="42" t="s">
        <v>64</v>
      </c>
      <c r="B118" s="43" t="str">
        <f ca="1">IFERROR(INDEX(UNSPSCDes,MATCH(INDIRECT(ADDRESS(ROW(),COLUMN()-1,4)),UNSPSCCode,0)),IF(INDIRECT(ADDRESS(ROW(),COLUMN()-1,4))="47131604","Escobas",""))</f>
        <v>Escobas</v>
      </c>
      <c r="C118" s="44" t="str">
        <f>IFERROR(VLOOKUP("UD",'[1]Informacion '!P:Q,2,FALSE),"")</f>
        <v>Unidad</v>
      </c>
      <c r="D118" s="42">
        <v>3</v>
      </c>
      <c r="E118" s="45">
        <v>112</v>
      </c>
      <c r="F118" s="46">
        <f t="shared" ref="F118:F123" ca="1" si="2">INDIRECT(ADDRESS(ROW(),COLUMN()-2,4))*INDIRECT(ADDRESS(ROW(),COLUMN()-1,4))</f>
        <v>336</v>
      </c>
    </row>
    <row r="119" spans="1:6">
      <c r="A119" s="42" t="s">
        <v>65</v>
      </c>
      <c r="B119" s="43" t="str">
        <f ca="1">IFERROR(INDEX(UNSPSCDes,MATCH(INDIRECT(ADDRESS(ROW(),COLUMN()-1,4)),UNSPSCCode,0)),IF(INDIRECT(ADDRESS(ROW(),COLUMN()-1,4))="12141901","Cloro cl",""))</f>
        <v>Cloro cl</v>
      </c>
      <c r="C119" s="44" t="str">
        <f>IFERROR(VLOOKUP("GAL",'[1]Informacion '!P:Q,2,FALSE),"")</f>
        <v>Galón</v>
      </c>
      <c r="D119" s="42">
        <v>40</v>
      </c>
      <c r="E119" s="45">
        <v>124</v>
      </c>
      <c r="F119" s="46">
        <f t="shared" ca="1" si="2"/>
        <v>4960</v>
      </c>
    </row>
    <row r="120" spans="1:6">
      <c r="A120" s="42" t="s">
        <v>65</v>
      </c>
      <c r="B120" s="43" t="str">
        <f ca="1">IFERROR(INDEX(UNSPSCDes,MATCH(INDIRECT(ADDRESS(ROW(),COLUMN()-1,4)),UNSPSCCode,0)),IF(INDIRECT(ADDRESS(ROW(),COLUMN()-1,4))="12141901","Cloro cl",""))</f>
        <v>Cloro cl</v>
      </c>
      <c r="C120" s="44" t="str">
        <f>IFERROR(VLOOKUP("GAL",'[1]Informacion '!P:Q,2,FALSE),"")</f>
        <v>Galón</v>
      </c>
      <c r="D120" s="42">
        <v>80</v>
      </c>
      <c r="E120" s="45">
        <v>225</v>
      </c>
      <c r="F120" s="46">
        <f t="shared" ca="1" si="2"/>
        <v>18000</v>
      </c>
    </row>
    <row r="121" spans="1:6">
      <c r="A121" s="42" t="s">
        <v>66</v>
      </c>
      <c r="B121" s="43" t="str">
        <f ca="1">IFERROR(INDEX(UNSPSCDes,MATCH(INDIRECT(ADDRESS(ROW(),COLUMN()-1,4)),UNSPSCCode,0)),IF(INDIRECT(ADDRESS(ROW(),COLUMN()-1,4))="53131608","Jabones",""))</f>
        <v>Jabones</v>
      </c>
      <c r="C121" s="44" t="str">
        <f>IFERROR(VLOOKUP("GAL",'[1]Informacion '!P:Q,2,FALSE),"")</f>
        <v>Galón</v>
      </c>
      <c r="D121" s="42">
        <v>30</v>
      </c>
      <c r="E121" s="45">
        <v>207</v>
      </c>
      <c r="F121" s="46">
        <f t="shared" ca="1" si="2"/>
        <v>6210</v>
      </c>
    </row>
    <row r="122" spans="1:6" ht="33.75">
      <c r="A122" s="42" t="s">
        <v>67</v>
      </c>
      <c r="B122" s="43" t="str">
        <f ca="1">IFERROR(INDEX(UNSPSCDes,MATCH(INDIRECT(ADDRESS(ROW(),COLUMN()-1,4)),UNSPSCCode,0)),IF(INDIRECT(ADDRESS(ROW(),COLUMN()-1,4))="47131706","Dispensadores de ambientadores",""))</f>
        <v>Dispensadores de ambientadores</v>
      </c>
      <c r="C122" s="44" t="str">
        <f>IFERROR(VLOOKUP("UD",'[1]Informacion '!P:Q,2,FALSE),"")</f>
        <v>Unidad</v>
      </c>
      <c r="D122" s="42">
        <v>25</v>
      </c>
      <c r="E122" s="45">
        <v>100</v>
      </c>
      <c r="F122" s="46">
        <f t="shared" ca="1" si="2"/>
        <v>2500</v>
      </c>
    </row>
    <row r="123" spans="1:6">
      <c r="A123" s="42" t="s">
        <v>66</v>
      </c>
      <c r="B123" s="43" t="str">
        <f ca="1">IFERROR(INDEX(UNSPSCDes,MATCH(INDIRECT(ADDRESS(ROW(),COLUMN()-1,4)),UNSPSCCode,0)),IF(INDIRECT(ADDRESS(ROW(),COLUMN()-1,4))="53131608","Jabones",""))</f>
        <v>Jabones</v>
      </c>
      <c r="C123" s="44" t="str">
        <f>IFERROR(VLOOKUP("UD",'[1]Informacion '!P:Q,2,FALSE),"")</f>
        <v>Unidad</v>
      </c>
      <c r="D123" s="42">
        <v>10</v>
      </c>
      <c r="E123" s="45">
        <v>300</v>
      </c>
      <c r="F123" s="46">
        <f t="shared" ca="1" si="2"/>
        <v>3000</v>
      </c>
    </row>
    <row r="124" spans="1:6" ht="16.5">
      <c r="A124" s="36"/>
      <c r="B124" s="36"/>
      <c r="C124" s="36"/>
      <c r="D124" s="36"/>
      <c r="E124" s="47" t="s">
        <v>50</v>
      </c>
      <c r="F124" s="48">
        <f ca="1">SUM(Table10[MONTO TOTAL ESTIMADO])</f>
        <v>35006</v>
      </c>
    </row>
    <row r="125" spans="1:6" ht="17.25" thickBot="1">
      <c r="A125" s="36"/>
      <c r="B125" s="36"/>
      <c r="C125" s="36"/>
      <c r="D125" s="36"/>
      <c r="E125" s="36"/>
      <c r="F125" s="36"/>
    </row>
    <row r="126" spans="1:6" ht="34.5" thickBot="1">
      <c r="A126" s="1" t="s">
        <v>0</v>
      </c>
      <c r="B126" s="1" t="s">
        <v>1</v>
      </c>
      <c r="C126" s="1" t="s">
        <v>2</v>
      </c>
      <c r="D126" s="1" t="s">
        <v>3</v>
      </c>
      <c r="E126" s="1" t="s">
        <v>4</v>
      </c>
      <c r="F126" s="1" t="s">
        <v>5</v>
      </c>
    </row>
    <row r="127" spans="1:6" ht="15.75" thickBot="1">
      <c r="A127" s="2" t="s">
        <v>58</v>
      </c>
      <c r="B127" s="2" t="s">
        <v>68</v>
      </c>
      <c r="C127" s="2" t="s">
        <v>40</v>
      </c>
      <c r="D127" s="2" t="s">
        <v>41</v>
      </c>
      <c r="E127" s="2" t="s">
        <v>42</v>
      </c>
      <c r="F127" s="2"/>
    </row>
    <row r="128" spans="1:6" ht="15.75" thickBot="1">
      <c r="A128" s="3" t="s">
        <v>11</v>
      </c>
      <c r="B128" s="4" t="s">
        <v>12</v>
      </c>
      <c r="C128" s="37">
        <v>43347</v>
      </c>
      <c r="D128" s="3" t="s">
        <v>13</v>
      </c>
      <c r="E128" s="38" t="s">
        <v>14</v>
      </c>
      <c r="F128" s="39"/>
    </row>
    <row r="129" spans="1:6" ht="15.75" thickBot="1">
      <c r="A129" s="6"/>
      <c r="B129" s="4" t="s">
        <v>15</v>
      </c>
      <c r="C129" s="40">
        <f>IF(C128="","",IF(AND(MONTH(C128)&gt;=1,MONTH(C128)&lt;=3),1,IF(AND(MONTH(C128)&gt;=4,MONTH(C128)&lt;=6),2,IF(AND(MONTH(C128)&gt;=7,MONTH(C128)&lt;=9),3,4))))</f>
        <v>3</v>
      </c>
      <c r="D129" s="6"/>
      <c r="E129" s="38" t="s">
        <v>16</v>
      </c>
      <c r="F129" s="39"/>
    </row>
    <row r="130" spans="1:6" ht="15.75" thickBot="1">
      <c r="A130" s="6"/>
      <c r="B130" s="4" t="s">
        <v>17</v>
      </c>
      <c r="C130" s="37">
        <v>43348</v>
      </c>
      <c r="D130" s="6"/>
      <c r="E130" s="38" t="s">
        <v>18</v>
      </c>
      <c r="F130" s="39"/>
    </row>
    <row r="131" spans="1:6" ht="15.75" thickBot="1">
      <c r="A131" s="6"/>
      <c r="B131" s="4" t="s">
        <v>15</v>
      </c>
      <c r="C131" s="40">
        <f>IF(C130="","",IF(AND(MONTH(C130)&gt;=1,MONTH(C130)&lt;=3),1,IF(AND(MONTH(C130)&gt;=4,MONTH(C130)&lt;=6),2,IF(AND(MONTH(C130)&gt;=7,MONTH(C130)&lt;=9),3,4))))</f>
        <v>3</v>
      </c>
      <c r="D131" s="6"/>
      <c r="E131" s="38" t="s">
        <v>19</v>
      </c>
      <c r="F131" s="39"/>
    </row>
    <row r="132" spans="1:6" ht="17.25" thickBot="1">
      <c r="A132" s="36"/>
      <c r="B132" s="36"/>
      <c r="C132" s="36"/>
      <c r="D132" s="36"/>
      <c r="E132" s="36"/>
      <c r="F132" s="36"/>
    </row>
    <row r="133" spans="1:6" ht="15.75" thickBot="1">
      <c r="A133" s="41" t="s">
        <v>43</v>
      </c>
      <c r="B133" s="41" t="s">
        <v>44</v>
      </c>
      <c r="C133" s="41" t="s">
        <v>45</v>
      </c>
      <c r="D133" s="41" t="s">
        <v>46</v>
      </c>
      <c r="E133" s="41" t="s">
        <v>47</v>
      </c>
      <c r="F133" s="41" t="s">
        <v>48</v>
      </c>
    </row>
    <row r="134" spans="1:6">
      <c r="A134" s="42" t="s">
        <v>49</v>
      </c>
      <c r="B134" s="43" t="str">
        <f ca="1">IFERROR(INDEX(UNSPSCDes,MATCH(INDIRECT(ADDRESS(ROW(),COLUMN()-1,4)),UNSPSCCode,0)),IF(INDIRECT(ADDRESS(ROW(),COLUMN()-1,4))="15101506","Gasolina",""))</f>
        <v>Gasolina</v>
      </c>
      <c r="C134" s="44" t="str">
        <f>IFERROR(VLOOKUP("UD",'[1]Informacion '!P:Q,2,FALSE),"")</f>
        <v>Unidad</v>
      </c>
      <c r="D134" s="42">
        <v>25</v>
      </c>
      <c r="E134" s="45">
        <v>1000</v>
      </c>
      <c r="F134" s="46">
        <f ca="1">INDIRECT(ADDRESS(ROW(),COLUMN()-2,4))*INDIRECT(ADDRESS(ROW(),COLUMN()-1,4))</f>
        <v>25000</v>
      </c>
    </row>
    <row r="135" spans="1:6">
      <c r="A135" s="42" t="s">
        <v>49</v>
      </c>
      <c r="B135" s="43" t="str">
        <f ca="1">IFERROR(INDEX(UNSPSCDes,MATCH(INDIRECT(ADDRESS(ROW(),COLUMN()-1,4)),UNSPSCCode,0)),IF(INDIRECT(ADDRESS(ROW(),COLUMN()-1,4))="15101506","Gasolina",""))</f>
        <v>Gasolina</v>
      </c>
      <c r="C135" s="44" t="str">
        <f>IFERROR(VLOOKUP("UD",'[1]Informacion '!P:Q,2,FALSE),"")</f>
        <v>Unidad</v>
      </c>
      <c r="D135" s="42">
        <v>200</v>
      </c>
      <c r="E135" s="45">
        <v>500</v>
      </c>
      <c r="F135" s="46">
        <f ca="1">INDIRECT(ADDRESS(ROW(),COLUMN()-2,4))*INDIRECT(ADDRESS(ROW(),COLUMN()-1,4))</f>
        <v>100000</v>
      </c>
    </row>
    <row r="136" spans="1:6">
      <c r="A136" s="42" t="s">
        <v>49</v>
      </c>
      <c r="B136" s="43" t="str">
        <f ca="1">IFERROR(INDEX(UNSPSCDes,MATCH(INDIRECT(ADDRESS(ROW(),COLUMN()-1,4)),UNSPSCCode,0)),IF(INDIRECT(ADDRESS(ROW(),COLUMN()-1,4))="15101506","Gasolina",""))</f>
        <v>Gasolina</v>
      </c>
      <c r="C136" s="44" t="str">
        <f>IFERROR(VLOOKUP("UD",'[1]Informacion '!P:Q,2,FALSE),"")</f>
        <v>Unidad</v>
      </c>
      <c r="D136" s="42">
        <v>250</v>
      </c>
      <c r="E136" s="45">
        <v>200</v>
      </c>
      <c r="F136" s="46">
        <f ca="1">INDIRECT(ADDRESS(ROW(),COLUMN()-2,4))*INDIRECT(ADDRESS(ROW(),COLUMN()-1,4))</f>
        <v>50000</v>
      </c>
    </row>
    <row r="137" spans="1:6">
      <c r="A137" s="42" t="s">
        <v>49</v>
      </c>
      <c r="B137" s="43" t="str">
        <f ca="1">IFERROR(INDEX(UNSPSCDes,MATCH(INDIRECT(ADDRESS(ROW(),COLUMN()-1,4)),UNSPSCCode,0)),IF(INDIRECT(ADDRESS(ROW(),COLUMN()-1,4))="15101506","Gasolina",""))</f>
        <v>Gasolina</v>
      </c>
      <c r="C137" s="44" t="str">
        <f>IFERROR(VLOOKUP("UD",'[1]Informacion '!P:Q,2,FALSE),"")</f>
        <v>Unidad</v>
      </c>
      <c r="D137" s="42">
        <v>150</v>
      </c>
      <c r="E137" s="45">
        <v>100</v>
      </c>
      <c r="F137" s="46">
        <f ca="1">INDIRECT(ADDRESS(ROW(),COLUMN()-2,4))*INDIRECT(ADDRESS(ROW(),COLUMN()-1,4))</f>
        <v>15000</v>
      </c>
    </row>
    <row r="138" spans="1:6" ht="16.5">
      <c r="A138" s="36"/>
      <c r="B138" s="36"/>
      <c r="C138" s="36"/>
      <c r="D138" s="36"/>
      <c r="E138" s="47" t="s">
        <v>50</v>
      </c>
      <c r="F138" s="48">
        <f ca="1">SUM(Table11[MONTO TOTAL ESTIMADO])</f>
        <v>190000</v>
      </c>
    </row>
    <row r="139" spans="1:6" ht="17.25" thickBot="1">
      <c r="A139" s="36"/>
      <c r="B139" s="36"/>
      <c r="C139" s="36"/>
      <c r="D139" s="36"/>
      <c r="E139" s="36"/>
      <c r="F139" s="36"/>
    </row>
    <row r="140" spans="1:6" ht="34.5" thickBot="1">
      <c r="A140" s="1" t="s">
        <v>0</v>
      </c>
      <c r="B140" s="1" t="s">
        <v>1</v>
      </c>
      <c r="C140" s="1" t="s">
        <v>2</v>
      </c>
      <c r="D140" s="1" t="s">
        <v>3</v>
      </c>
      <c r="E140" s="1" t="s">
        <v>4</v>
      </c>
      <c r="F140" s="1" t="s">
        <v>5</v>
      </c>
    </row>
    <row r="141" spans="1:6" ht="15.75" thickBot="1">
      <c r="A141" s="2" t="s">
        <v>58</v>
      </c>
      <c r="B141" s="2" t="s">
        <v>69</v>
      </c>
      <c r="C141" s="2" t="s">
        <v>40</v>
      </c>
      <c r="D141" s="2" t="s">
        <v>41</v>
      </c>
      <c r="E141" s="2" t="s">
        <v>42</v>
      </c>
      <c r="F141" s="2"/>
    </row>
    <row r="142" spans="1:6" ht="15.75" thickBot="1">
      <c r="A142" s="3" t="s">
        <v>11</v>
      </c>
      <c r="B142" s="4" t="s">
        <v>12</v>
      </c>
      <c r="C142" s="37">
        <v>43375</v>
      </c>
      <c r="D142" s="3" t="s">
        <v>13</v>
      </c>
      <c r="E142" s="38" t="s">
        <v>14</v>
      </c>
      <c r="F142" s="39"/>
    </row>
    <row r="143" spans="1:6" ht="15.75" thickBot="1">
      <c r="A143" s="6"/>
      <c r="B143" s="4" t="s">
        <v>15</v>
      </c>
      <c r="C143" s="40">
        <f>IF(C142="","",IF(AND(MONTH(C142)&gt;=1,MONTH(C142)&lt;=3),1,IF(AND(MONTH(C142)&gt;=4,MONTH(C142)&lt;=6),2,IF(AND(MONTH(C142)&gt;=7,MONTH(C142)&lt;=9),3,4))))</f>
        <v>4</v>
      </c>
      <c r="D143" s="6"/>
      <c r="E143" s="38" t="s">
        <v>16</v>
      </c>
      <c r="F143" s="39"/>
    </row>
    <row r="144" spans="1:6" ht="15.75" thickBot="1">
      <c r="A144" s="6"/>
      <c r="B144" s="4" t="s">
        <v>17</v>
      </c>
      <c r="C144" s="37">
        <v>43377</v>
      </c>
      <c r="D144" s="6"/>
      <c r="E144" s="38" t="s">
        <v>18</v>
      </c>
      <c r="F144" s="39"/>
    </row>
    <row r="145" spans="1:6" ht="15.75" thickBot="1">
      <c r="A145" s="6"/>
      <c r="B145" s="4" t="s">
        <v>15</v>
      </c>
      <c r="C145" s="40">
        <f>IF(C144="","",IF(AND(MONTH(C144)&gt;=1,MONTH(C144)&lt;=3),1,IF(AND(MONTH(C144)&gt;=4,MONTH(C144)&lt;=6),2,IF(AND(MONTH(C144)&gt;=7,MONTH(C144)&lt;=9),3,4))))</f>
        <v>4</v>
      </c>
      <c r="D145" s="6"/>
      <c r="E145" s="38" t="s">
        <v>19</v>
      </c>
      <c r="F145" s="39"/>
    </row>
    <row r="146" spans="1:6" ht="17.25" thickBot="1">
      <c r="A146" s="36"/>
      <c r="B146" s="36"/>
      <c r="C146" s="36"/>
      <c r="D146" s="36"/>
      <c r="E146" s="36"/>
      <c r="F146" s="36"/>
    </row>
    <row r="147" spans="1:6" ht="15.75" thickBot="1">
      <c r="A147" s="41" t="s">
        <v>43</v>
      </c>
      <c r="B147" s="41" t="s">
        <v>44</v>
      </c>
      <c r="C147" s="41" t="s">
        <v>45</v>
      </c>
      <c r="D147" s="41" t="s">
        <v>46</v>
      </c>
      <c r="E147" s="41" t="s">
        <v>47</v>
      </c>
      <c r="F147" s="41" t="s">
        <v>48</v>
      </c>
    </row>
    <row r="148" spans="1:6">
      <c r="A148" s="42" t="s">
        <v>49</v>
      </c>
      <c r="B148" s="43" t="str">
        <f ca="1">IFERROR(INDEX(UNSPSCDes,MATCH(INDIRECT(ADDRESS(ROW(),COLUMN()-1,4)),UNSPSCCode,0)),IF(INDIRECT(ADDRESS(ROW(),COLUMN()-1,4))="15101506","Gasolina",""))</f>
        <v>Gasolina</v>
      </c>
      <c r="C148" s="44" t="str">
        <f>IFERROR(VLOOKUP("UD",'[1]Informacion '!P:Q,2,FALSE),"")</f>
        <v>Unidad</v>
      </c>
      <c r="D148" s="42">
        <v>25</v>
      </c>
      <c r="E148" s="45">
        <v>1000</v>
      </c>
      <c r="F148" s="46">
        <f ca="1">INDIRECT(ADDRESS(ROW(),COLUMN()-2,4))*INDIRECT(ADDRESS(ROW(),COLUMN()-1,4))</f>
        <v>25000</v>
      </c>
    </row>
    <row r="149" spans="1:6">
      <c r="A149" s="42" t="s">
        <v>49</v>
      </c>
      <c r="B149" s="43" t="str">
        <f ca="1">IFERROR(INDEX(UNSPSCDes,MATCH(INDIRECT(ADDRESS(ROW(),COLUMN()-1,4)),UNSPSCCode,0)),IF(INDIRECT(ADDRESS(ROW(),COLUMN()-1,4))="15101506","Gasolina",""))</f>
        <v>Gasolina</v>
      </c>
      <c r="C149" s="44" t="str">
        <f>IFERROR(VLOOKUP("UD",'[1]Informacion '!P:Q,2,FALSE),"")</f>
        <v>Unidad</v>
      </c>
      <c r="D149" s="42">
        <v>200</v>
      </c>
      <c r="E149" s="45">
        <v>500</v>
      </c>
      <c r="F149" s="46">
        <f ca="1">INDIRECT(ADDRESS(ROW(),COLUMN()-2,4))*INDIRECT(ADDRESS(ROW(),COLUMN()-1,4))</f>
        <v>100000</v>
      </c>
    </row>
    <row r="150" spans="1:6">
      <c r="A150" s="42" t="s">
        <v>49</v>
      </c>
      <c r="B150" s="43" t="str">
        <f ca="1">IFERROR(INDEX(UNSPSCDes,MATCH(INDIRECT(ADDRESS(ROW(),COLUMN()-1,4)),UNSPSCCode,0)),IF(INDIRECT(ADDRESS(ROW(),COLUMN()-1,4))="15101506","Gasolina",""))</f>
        <v>Gasolina</v>
      </c>
      <c r="C150" s="44" t="str">
        <f>IFERROR(VLOOKUP("UD",'[1]Informacion '!P:Q,2,FALSE),"")</f>
        <v>Unidad</v>
      </c>
      <c r="D150" s="42">
        <v>250</v>
      </c>
      <c r="E150" s="45">
        <v>200</v>
      </c>
      <c r="F150" s="46">
        <f ca="1">INDIRECT(ADDRESS(ROW(),COLUMN()-2,4))*INDIRECT(ADDRESS(ROW(),COLUMN()-1,4))</f>
        <v>50000</v>
      </c>
    </row>
    <row r="151" spans="1:6">
      <c r="A151" s="42" t="s">
        <v>49</v>
      </c>
      <c r="B151" s="43" t="str">
        <f ca="1">IFERROR(INDEX(UNSPSCDes,MATCH(INDIRECT(ADDRESS(ROW(),COLUMN()-1,4)),UNSPSCCode,0)),IF(INDIRECT(ADDRESS(ROW(),COLUMN()-1,4))="15101506","Gasolina",""))</f>
        <v>Gasolina</v>
      </c>
      <c r="C151" s="44" t="str">
        <f>IFERROR(VLOOKUP("UD",'[1]Informacion '!P:Q,2,FALSE),"")</f>
        <v>Unidad</v>
      </c>
      <c r="D151" s="42">
        <v>150</v>
      </c>
      <c r="E151" s="45">
        <v>100</v>
      </c>
      <c r="F151" s="46">
        <f ca="1">INDIRECT(ADDRESS(ROW(),COLUMN()-2,4))*INDIRECT(ADDRESS(ROW(),COLUMN()-1,4))</f>
        <v>15000</v>
      </c>
    </row>
    <row r="152" spans="1:6" ht="16.5">
      <c r="A152" s="36"/>
      <c r="B152" s="36"/>
      <c r="C152" s="36"/>
      <c r="D152" s="36"/>
      <c r="E152" s="47" t="s">
        <v>50</v>
      </c>
      <c r="F152" s="48">
        <f ca="1">SUM(Table12[MONTO TOTAL ESTIMADO])</f>
        <v>190000</v>
      </c>
    </row>
    <row r="153" spans="1:6" ht="17.25" thickBot="1">
      <c r="A153" s="36"/>
      <c r="B153" s="36"/>
      <c r="C153" s="36"/>
      <c r="D153" s="36"/>
      <c r="E153" s="36"/>
      <c r="F153" s="36"/>
    </row>
    <row r="154" spans="1:6" ht="34.5" thickBot="1">
      <c r="A154" s="1" t="s">
        <v>0</v>
      </c>
      <c r="B154" s="1" t="s">
        <v>1</v>
      </c>
      <c r="C154" s="1" t="s">
        <v>2</v>
      </c>
      <c r="D154" s="1" t="s">
        <v>3</v>
      </c>
      <c r="E154" s="1" t="s">
        <v>4</v>
      </c>
      <c r="F154" s="1" t="s">
        <v>5</v>
      </c>
    </row>
    <row r="155" spans="1:6" ht="15.75" thickBot="1">
      <c r="A155" s="2" t="s">
        <v>58</v>
      </c>
      <c r="B155" s="2" t="s">
        <v>70</v>
      </c>
      <c r="C155" s="2" t="s">
        <v>40</v>
      </c>
      <c r="D155" s="2" t="s">
        <v>41</v>
      </c>
      <c r="E155" s="2" t="s">
        <v>42</v>
      </c>
      <c r="F155" s="2"/>
    </row>
    <row r="156" spans="1:6" ht="15.75" thickBot="1">
      <c r="A156" s="3" t="s">
        <v>11</v>
      </c>
      <c r="B156" s="4" t="s">
        <v>12</v>
      </c>
      <c r="C156" s="37">
        <v>43406</v>
      </c>
      <c r="D156" s="3" t="s">
        <v>13</v>
      </c>
      <c r="E156" s="38" t="s">
        <v>14</v>
      </c>
      <c r="F156" s="39"/>
    </row>
    <row r="157" spans="1:6" ht="15.75" thickBot="1">
      <c r="A157" s="6"/>
      <c r="B157" s="4" t="s">
        <v>15</v>
      </c>
      <c r="C157" s="40">
        <f>IF(C156="","",IF(AND(MONTH(C156)&gt;=1,MONTH(C156)&lt;=3),1,IF(AND(MONTH(C156)&gt;=4,MONTH(C156)&lt;=6),2,IF(AND(MONTH(C156)&gt;=7,MONTH(C156)&lt;=9),3,4))))</f>
        <v>4</v>
      </c>
      <c r="D157" s="6"/>
      <c r="E157" s="38" t="s">
        <v>16</v>
      </c>
      <c r="F157" s="39"/>
    </row>
    <row r="158" spans="1:6" ht="15.75" thickBot="1">
      <c r="A158" s="6"/>
      <c r="B158" s="4" t="s">
        <v>17</v>
      </c>
      <c r="C158" s="37">
        <v>43407</v>
      </c>
      <c r="D158" s="6"/>
      <c r="E158" s="38" t="s">
        <v>18</v>
      </c>
      <c r="F158" s="39"/>
    </row>
    <row r="159" spans="1:6" ht="15.75" thickBot="1">
      <c r="A159" s="6"/>
      <c r="B159" s="4" t="s">
        <v>15</v>
      </c>
      <c r="C159" s="40">
        <f>IF(C158="","",IF(AND(MONTH(C158)&gt;=1,MONTH(C158)&lt;=3),1,IF(AND(MONTH(C158)&gt;=4,MONTH(C158)&lt;=6),2,IF(AND(MONTH(C158)&gt;=7,MONTH(C158)&lt;=9),3,4))))</f>
        <v>4</v>
      </c>
      <c r="D159" s="6"/>
      <c r="E159" s="38" t="s">
        <v>19</v>
      </c>
      <c r="F159" s="39"/>
    </row>
    <row r="160" spans="1:6" ht="17.25" thickBot="1">
      <c r="A160" s="36"/>
      <c r="B160" s="36"/>
      <c r="C160" s="36"/>
      <c r="D160" s="36"/>
      <c r="E160" s="36"/>
      <c r="F160" s="36"/>
    </row>
    <row r="161" spans="1:6" ht="15.75" thickBot="1">
      <c r="A161" s="41" t="s">
        <v>43</v>
      </c>
      <c r="B161" s="41" t="s">
        <v>44</v>
      </c>
      <c r="C161" s="41" t="s">
        <v>45</v>
      </c>
      <c r="D161" s="41" t="s">
        <v>46</v>
      </c>
      <c r="E161" s="41" t="s">
        <v>47</v>
      </c>
      <c r="F161" s="41" t="s">
        <v>48</v>
      </c>
    </row>
    <row r="162" spans="1:6">
      <c r="A162" s="42" t="s">
        <v>49</v>
      </c>
      <c r="B162" s="43" t="str">
        <f ca="1">IFERROR(INDEX(UNSPSCDes,MATCH(INDIRECT(ADDRESS(ROW(),COLUMN()-1,4)),UNSPSCCode,0)),IF(INDIRECT(ADDRESS(ROW(),COLUMN()-1,4))="15101506","Gasolina",""))</f>
        <v>Gasolina</v>
      </c>
      <c r="C162" s="44" t="str">
        <f>IFERROR(VLOOKUP("UD",'[1]Informacion '!P:Q,2,FALSE),"")</f>
        <v>Unidad</v>
      </c>
      <c r="D162" s="42">
        <v>25</v>
      </c>
      <c r="E162" s="45">
        <v>1000</v>
      </c>
      <c r="F162" s="46">
        <f ca="1">INDIRECT(ADDRESS(ROW(),COLUMN()-2,4))*INDIRECT(ADDRESS(ROW(),COLUMN()-1,4))</f>
        <v>25000</v>
      </c>
    </row>
    <row r="163" spans="1:6">
      <c r="A163" s="42" t="s">
        <v>49</v>
      </c>
      <c r="B163" s="43" t="str">
        <f ca="1">IFERROR(INDEX(UNSPSCDes,MATCH(INDIRECT(ADDRESS(ROW(),COLUMN()-1,4)),UNSPSCCode,0)),IF(INDIRECT(ADDRESS(ROW(),COLUMN()-1,4))="15101506","Gasolina",""))</f>
        <v>Gasolina</v>
      </c>
      <c r="C163" s="44" t="str">
        <f>IFERROR(VLOOKUP("UD",'[1]Informacion '!P:Q,2,FALSE),"")</f>
        <v>Unidad</v>
      </c>
      <c r="D163" s="42">
        <v>200</v>
      </c>
      <c r="E163" s="45">
        <v>500</v>
      </c>
      <c r="F163" s="46">
        <f ca="1">INDIRECT(ADDRESS(ROW(),COLUMN()-2,4))*INDIRECT(ADDRESS(ROW(),COLUMN()-1,4))</f>
        <v>100000</v>
      </c>
    </row>
    <row r="164" spans="1:6">
      <c r="A164" s="42" t="s">
        <v>49</v>
      </c>
      <c r="B164" s="43" t="str">
        <f ca="1">IFERROR(INDEX(UNSPSCDes,MATCH(INDIRECT(ADDRESS(ROW(),COLUMN()-1,4)),UNSPSCCode,0)),IF(INDIRECT(ADDRESS(ROW(),COLUMN()-1,4))="15101506","Gasolina",""))</f>
        <v>Gasolina</v>
      </c>
      <c r="C164" s="44" t="str">
        <f>IFERROR(VLOOKUP("UD",'[1]Informacion '!P:Q,2,FALSE),"")</f>
        <v>Unidad</v>
      </c>
      <c r="D164" s="42">
        <v>250</v>
      </c>
      <c r="E164" s="45">
        <v>200</v>
      </c>
      <c r="F164" s="46">
        <f ca="1">INDIRECT(ADDRESS(ROW(),COLUMN()-2,4))*INDIRECT(ADDRESS(ROW(),COLUMN()-1,4))</f>
        <v>50000</v>
      </c>
    </row>
    <row r="165" spans="1:6">
      <c r="A165" s="42" t="s">
        <v>49</v>
      </c>
      <c r="B165" s="43" t="str">
        <f ca="1">IFERROR(INDEX(UNSPSCDes,MATCH(INDIRECT(ADDRESS(ROW(),COLUMN()-1,4)),UNSPSCCode,0)),IF(INDIRECT(ADDRESS(ROW(),COLUMN()-1,4))="15101506","Gasolina",""))</f>
        <v>Gasolina</v>
      </c>
      <c r="C165" s="44" t="str">
        <f>IFERROR(VLOOKUP("UD",'[1]Informacion '!P:Q,2,FALSE),"")</f>
        <v>Unidad</v>
      </c>
      <c r="D165" s="42">
        <v>150</v>
      </c>
      <c r="E165" s="45">
        <v>100</v>
      </c>
      <c r="F165" s="46">
        <f ca="1">INDIRECT(ADDRESS(ROW(),COLUMN()-2,4))*INDIRECT(ADDRESS(ROW(),COLUMN()-1,4))</f>
        <v>15000</v>
      </c>
    </row>
    <row r="166" spans="1:6" ht="16.5">
      <c r="A166" s="36"/>
      <c r="B166" s="36"/>
      <c r="C166" s="36"/>
      <c r="D166" s="36"/>
      <c r="E166" s="47" t="s">
        <v>50</v>
      </c>
      <c r="F166" s="48">
        <f ca="1">SUM(Table13[MONTO TOTAL ESTIMADO])</f>
        <v>190000</v>
      </c>
    </row>
    <row r="167" spans="1:6" ht="17.25" thickBot="1">
      <c r="A167" s="36"/>
      <c r="B167" s="36"/>
      <c r="C167" s="36"/>
      <c r="D167" s="36"/>
      <c r="E167" s="36"/>
      <c r="F167" s="36"/>
    </row>
    <row r="168" spans="1:6" ht="34.5" thickBot="1">
      <c r="A168" s="1" t="s">
        <v>0</v>
      </c>
      <c r="B168" s="1" t="s">
        <v>1</v>
      </c>
      <c r="C168" s="1" t="s">
        <v>2</v>
      </c>
      <c r="D168" s="1" t="s">
        <v>3</v>
      </c>
      <c r="E168" s="1" t="s">
        <v>4</v>
      </c>
      <c r="F168" s="1" t="s">
        <v>5</v>
      </c>
    </row>
    <row r="169" spans="1:6" ht="15.75" thickBot="1">
      <c r="A169" s="2" t="s">
        <v>58</v>
      </c>
      <c r="B169" s="2" t="s">
        <v>71</v>
      </c>
      <c r="C169" s="2" t="s">
        <v>40</v>
      </c>
      <c r="D169" s="2" t="s">
        <v>41</v>
      </c>
      <c r="E169" s="2" t="s">
        <v>42</v>
      </c>
      <c r="F169" s="2"/>
    </row>
    <row r="170" spans="1:6" ht="15.75" thickBot="1">
      <c r="A170" s="3" t="s">
        <v>11</v>
      </c>
      <c r="B170" s="4" t="s">
        <v>12</v>
      </c>
      <c r="C170" s="37">
        <v>43438</v>
      </c>
      <c r="D170" s="3" t="s">
        <v>13</v>
      </c>
      <c r="E170" s="38" t="s">
        <v>14</v>
      </c>
      <c r="F170" s="39"/>
    </row>
    <row r="171" spans="1:6" ht="15.75" thickBot="1">
      <c r="A171" s="6"/>
      <c r="B171" s="4" t="s">
        <v>15</v>
      </c>
      <c r="C171" s="40">
        <f>IF(C170="","",IF(AND(MONTH(C170)&gt;=1,MONTH(C170)&lt;=3),1,IF(AND(MONTH(C170)&gt;=4,MONTH(C170)&lt;=6),2,IF(AND(MONTH(C170)&gt;=7,MONTH(C170)&lt;=9),3,4))))</f>
        <v>4</v>
      </c>
      <c r="D171" s="6"/>
      <c r="E171" s="38" t="s">
        <v>16</v>
      </c>
      <c r="F171" s="39"/>
    </row>
    <row r="172" spans="1:6" ht="15.75" thickBot="1">
      <c r="A172" s="6"/>
      <c r="B172" s="4" t="s">
        <v>17</v>
      </c>
      <c r="C172" s="37">
        <v>43439</v>
      </c>
      <c r="D172" s="6"/>
      <c r="E172" s="38" t="s">
        <v>18</v>
      </c>
      <c r="F172" s="39"/>
    </row>
    <row r="173" spans="1:6" ht="15.75" thickBot="1">
      <c r="A173" s="6"/>
      <c r="B173" s="4" t="s">
        <v>15</v>
      </c>
      <c r="C173" s="40">
        <f>IF(C172="","",IF(AND(MONTH(C172)&gt;=1,MONTH(C172)&lt;=3),1,IF(AND(MONTH(C172)&gt;=4,MONTH(C172)&lt;=6),2,IF(AND(MONTH(C172)&gt;=7,MONTH(C172)&lt;=9),3,4))))</f>
        <v>4</v>
      </c>
      <c r="D173" s="6"/>
      <c r="E173" s="38" t="s">
        <v>19</v>
      </c>
      <c r="F173" s="39"/>
    </row>
    <row r="174" spans="1:6" ht="17.25" thickBot="1">
      <c r="A174" s="36"/>
      <c r="B174" s="36"/>
      <c r="C174" s="36"/>
      <c r="D174" s="36"/>
      <c r="E174" s="36"/>
      <c r="F174" s="36"/>
    </row>
    <row r="175" spans="1:6" ht="15.75" thickBot="1">
      <c r="A175" s="41" t="s">
        <v>43</v>
      </c>
      <c r="B175" s="41" t="s">
        <v>44</v>
      </c>
      <c r="C175" s="41" t="s">
        <v>45</v>
      </c>
      <c r="D175" s="41" t="s">
        <v>46</v>
      </c>
      <c r="E175" s="41" t="s">
        <v>47</v>
      </c>
      <c r="F175" s="41" t="s">
        <v>48</v>
      </c>
    </row>
    <row r="176" spans="1:6">
      <c r="A176" s="42" t="s">
        <v>49</v>
      </c>
      <c r="B176" s="43" t="str">
        <f ca="1">IFERROR(INDEX(UNSPSCDes,MATCH(INDIRECT(ADDRESS(ROW(),COLUMN()-1,4)),UNSPSCCode,0)),IF(INDIRECT(ADDRESS(ROW(),COLUMN()-1,4))="15101506","Gasolina",""))</f>
        <v>Gasolina</v>
      </c>
      <c r="C176" s="44" t="str">
        <f>IFERROR(VLOOKUP("UD",'[1]Informacion '!P:Q,2,FALSE),"")</f>
        <v>Unidad</v>
      </c>
      <c r="D176" s="42">
        <v>25</v>
      </c>
      <c r="E176" s="45">
        <v>1000</v>
      </c>
      <c r="F176" s="46">
        <f ca="1">INDIRECT(ADDRESS(ROW(),COLUMN()-2,4))*INDIRECT(ADDRESS(ROW(),COLUMN()-1,4))</f>
        <v>25000</v>
      </c>
    </row>
    <row r="177" spans="1:6">
      <c r="A177" s="42" t="s">
        <v>49</v>
      </c>
      <c r="B177" s="43" t="str">
        <f ca="1">IFERROR(INDEX(UNSPSCDes,MATCH(INDIRECT(ADDRESS(ROW(),COLUMN()-1,4)),UNSPSCCode,0)),IF(INDIRECT(ADDRESS(ROW(),COLUMN()-1,4))="15101506","Gasolina",""))</f>
        <v>Gasolina</v>
      </c>
      <c r="C177" s="44" t="str">
        <f>IFERROR(VLOOKUP("UD",'[1]Informacion '!P:Q,2,FALSE),"")</f>
        <v>Unidad</v>
      </c>
      <c r="D177" s="42">
        <v>200</v>
      </c>
      <c r="E177" s="45">
        <v>500</v>
      </c>
      <c r="F177" s="46">
        <f ca="1">INDIRECT(ADDRESS(ROW(),COLUMN()-2,4))*INDIRECT(ADDRESS(ROW(),COLUMN()-1,4))</f>
        <v>100000</v>
      </c>
    </row>
    <row r="178" spans="1:6">
      <c r="A178" s="42" t="s">
        <v>49</v>
      </c>
      <c r="B178" s="43" t="str">
        <f ca="1">IFERROR(INDEX(UNSPSCDes,MATCH(INDIRECT(ADDRESS(ROW(),COLUMN()-1,4)),UNSPSCCode,0)),IF(INDIRECT(ADDRESS(ROW(),COLUMN()-1,4))="15101506","Gasolina",""))</f>
        <v>Gasolina</v>
      </c>
      <c r="C178" s="44" t="str">
        <f>IFERROR(VLOOKUP("UD",'[1]Informacion '!P:Q,2,FALSE),"")</f>
        <v>Unidad</v>
      </c>
      <c r="D178" s="42">
        <v>250</v>
      </c>
      <c r="E178" s="45">
        <v>200</v>
      </c>
      <c r="F178" s="46">
        <f ca="1">INDIRECT(ADDRESS(ROW(),COLUMN()-2,4))*INDIRECT(ADDRESS(ROW(),COLUMN()-1,4))</f>
        <v>50000</v>
      </c>
    </row>
    <row r="179" spans="1:6">
      <c r="A179" s="42" t="s">
        <v>49</v>
      </c>
      <c r="B179" s="43" t="str">
        <f ca="1">IFERROR(INDEX(UNSPSCDes,MATCH(INDIRECT(ADDRESS(ROW(),COLUMN()-1,4)),UNSPSCCode,0)),IF(INDIRECT(ADDRESS(ROW(),COLUMN()-1,4))="15101506","Gasolina",""))</f>
        <v>Gasolina</v>
      </c>
      <c r="C179" s="44" t="str">
        <f>IFERROR(VLOOKUP("UD",'[1]Informacion '!P:Q,2,FALSE),"")</f>
        <v>Unidad</v>
      </c>
      <c r="D179" s="42">
        <v>150</v>
      </c>
      <c r="E179" s="45">
        <v>100</v>
      </c>
      <c r="F179" s="46">
        <f ca="1">INDIRECT(ADDRESS(ROW(),COLUMN()-2,4))*INDIRECT(ADDRESS(ROW(),COLUMN()-1,4))</f>
        <v>15000</v>
      </c>
    </row>
    <row r="180" spans="1:6" ht="16.5">
      <c r="A180" s="36"/>
      <c r="B180" s="36"/>
      <c r="C180" s="36"/>
      <c r="D180" s="36"/>
      <c r="E180" s="47" t="s">
        <v>50</v>
      </c>
      <c r="F180" s="48">
        <f ca="1">SUM(Table14[MONTO TOTAL ESTIMADO])</f>
        <v>190000</v>
      </c>
    </row>
    <row r="181" spans="1:6" ht="17.25" thickBot="1">
      <c r="A181" s="36"/>
      <c r="B181" s="36"/>
      <c r="C181" s="36"/>
      <c r="D181" s="36"/>
      <c r="E181" s="36"/>
      <c r="F181" s="36"/>
    </row>
    <row r="182" spans="1:6" ht="34.5" thickBot="1">
      <c r="A182" s="1" t="s">
        <v>0</v>
      </c>
      <c r="B182" s="1" t="s">
        <v>1</v>
      </c>
      <c r="C182" s="1" t="s">
        <v>2</v>
      </c>
      <c r="D182" s="1" t="s">
        <v>3</v>
      </c>
      <c r="E182" s="1" t="s">
        <v>4</v>
      </c>
      <c r="F182" s="1" t="s">
        <v>5</v>
      </c>
    </row>
    <row r="183" spans="1:6" ht="15.75" thickBot="1">
      <c r="A183" s="2" t="s">
        <v>72</v>
      </c>
      <c r="B183" s="2" t="s">
        <v>73</v>
      </c>
      <c r="C183" s="2" t="s">
        <v>40</v>
      </c>
      <c r="D183" s="2" t="s">
        <v>62</v>
      </c>
      <c r="E183" s="2" t="s">
        <v>63</v>
      </c>
      <c r="F183" s="2"/>
    </row>
    <row r="184" spans="1:6" ht="15.75" thickBot="1">
      <c r="A184" s="3" t="s">
        <v>11</v>
      </c>
      <c r="B184" s="4" t="s">
        <v>12</v>
      </c>
      <c r="C184" s="37">
        <v>43222</v>
      </c>
      <c r="D184" s="3" t="s">
        <v>13</v>
      </c>
      <c r="E184" s="38" t="s">
        <v>14</v>
      </c>
      <c r="F184" s="39"/>
    </row>
    <row r="185" spans="1:6" ht="15.75" thickBot="1">
      <c r="A185" s="6"/>
      <c r="B185" s="4" t="s">
        <v>15</v>
      </c>
      <c r="C185" s="40">
        <f>IF(C184="","",IF(AND(MONTH(C184)&gt;=1,MONTH(C184)&lt;=3),1,IF(AND(MONTH(C184)&gt;=4,MONTH(C184)&lt;=6),2,IF(AND(MONTH(C184)&gt;=7,MONTH(C184)&lt;=9),3,4))))</f>
        <v>2</v>
      </c>
      <c r="D185" s="6"/>
      <c r="E185" s="38" t="s">
        <v>16</v>
      </c>
      <c r="F185" s="39"/>
    </row>
    <row r="186" spans="1:6" ht="15.75" thickBot="1">
      <c r="A186" s="6"/>
      <c r="B186" s="4" t="s">
        <v>17</v>
      </c>
      <c r="C186" s="37">
        <v>43223</v>
      </c>
      <c r="D186" s="6"/>
      <c r="E186" s="38" t="s">
        <v>18</v>
      </c>
      <c r="F186" s="39"/>
    </row>
    <row r="187" spans="1:6" ht="15.75" thickBot="1">
      <c r="A187" s="6"/>
      <c r="B187" s="4" t="s">
        <v>15</v>
      </c>
      <c r="C187" s="40">
        <f>IF(C186="","",IF(AND(MONTH(C186)&gt;=1,MONTH(C186)&lt;=3),1,IF(AND(MONTH(C186)&gt;=4,MONTH(C186)&lt;=6),2,IF(AND(MONTH(C186)&gt;=7,MONTH(C186)&lt;=9),3,4))))</f>
        <v>2</v>
      </c>
      <c r="D187" s="6"/>
      <c r="E187" s="38" t="s">
        <v>19</v>
      </c>
      <c r="F187" s="39"/>
    </row>
    <row r="188" spans="1:6" ht="17.25" thickBot="1">
      <c r="A188" s="36"/>
      <c r="B188" s="36"/>
      <c r="C188" s="36"/>
      <c r="D188" s="36"/>
      <c r="E188" s="36"/>
      <c r="F188" s="36"/>
    </row>
    <row r="189" spans="1:6" ht="15.75" thickBot="1">
      <c r="A189" s="41" t="s">
        <v>43</v>
      </c>
      <c r="B189" s="41" t="s">
        <v>44</v>
      </c>
      <c r="C189" s="41" t="s">
        <v>45</v>
      </c>
      <c r="D189" s="41" t="s">
        <v>46</v>
      </c>
      <c r="E189" s="41" t="s">
        <v>47</v>
      </c>
      <c r="F189" s="41" t="s">
        <v>48</v>
      </c>
    </row>
    <row r="190" spans="1:6" ht="22.5">
      <c r="A190" s="42" t="s">
        <v>74</v>
      </c>
      <c r="B190" s="43" t="str">
        <f ca="1">IFERROR(INDEX(UNSPSCDes,MATCH(INDIRECT(ADDRESS(ROW(),COLUMN()-1,4)),UNSPSCCode,0)),IF(INDIRECT(ADDRESS(ROW(),COLUMN()-1,4))="31211508","Pinturas acrílicas",""))</f>
        <v>Pinturas acrílicas</v>
      </c>
      <c r="C190" s="44" t="str">
        <f>IFERROR(VLOOKUP("UD",'[1]Informacion '!P:Q,2,FALSE),"")</f>
        <v>Unidad</v>
      </c>
      <c r="D190" s="42">
        <v>7</v>
      </c>
      <c r="E190" s="45">
        <v>5000</v>
      </c>
      <c r="F190" s="46">
        <f ca="1">INDIRECT(ADDRESS(ROW(),COLUMN()-2,4))*INDIRECT(ADDRESS(ROW(),COLUMN()-1,4))</f>
        <v>35000</v>
      </c>
    </row>
    <row r="191" spans="1:6" ht="16.5">
      <c r="A191" s="36"/>
      <c r="B191" s="36"/>
      <c r="C191" s="36"/>
      <c r="D191" s="36"/>
      <c r="E191" s="47" t="s">
        <v>50</v>
      </c>
      <c r="F191" s="48">
        <f ca="1">SUM(Table15[MONTO TOTAL ESTIMADO])</f>
        <v>35000</v>
      </c>
    </row>
    <row r="192" spans="1:6" ht="17.25" thickBot="1">
      <c r="A192" s="36"/>
      <c r="B192" s="36"/>
      <c r="C192" s="36"/>
      <c r="D192" s="36"/>
      <c r="E192" s="36"/>
      <c r="F192" s="36"/>
    </row>
    <row r="193" spans="1:6" ht="34.5" thickBot="1">
      <c r="A193" s="1" t="s">
        <v>0</v>
      </c>
      <c r="B193" s="1" t="s">
        <v>1</v>
      </c>
      <c r="C193" s="1" t="s">
        <v>2</v>
      </c>
      <c r="D193" s="1" t="s">
        <v>3</v>
      </c>
      <c r="E193" s="1" t="s">
        <v>4</v>
      </c>
      <c r="F193" s="1" t="s">
        <v>5</v>
      </c>
    </row>
    <row r="194" spans="1:6" ht="15.75" thickBot="1">
      <c r="A194" s="2" t="s">
        <v>75</v>
      </c>
      <c r="B194" s="2" t="s">
        <v>76</v>
      </c>
      <c r="C194" s="2" t="s">
        <v>8</v>
      </c>
      <c r="D194" s="2" t="s">
        <v>62</v>
      </c>
      <c r="E194" s="2" t="s">
        <v>63</v>
      </c>
      <c r="F194" s="2"/>
    </row>
    <row r="195" spans="1:6" ht="15.75" thickBot="1">
      <c r="A195" s="3" t="s">
        <v>11</v>
      </c>
      <c r="B195" s="4" t="s">
        <v>12</v>
      </c>
      <c r="C195" s="37">
        <v>43207</v>
      </c>
      <c r="D195" s="3" t="s">
        <v>13</v>
      </c>
      <c r="E195" s="38" t="s">
        <v>14</v>
      </c>
      <c r="F195" s="39"/>
    </row>
    <row r="196" spans="1:6" ht="15.75" thickBot="1">
      <c r="A196" s="6"/>
      <c r="B196" s="4" t="s">
        <v>15</v>
      </c>
      <c r="C196" s="40">
        <f>IF(C195="","",IF(AND(MONTH(C195)&gt;=1,MONTH(C195)&lt;=3),1,IF(AND(MONTH(C195)&gt;=4,MONTH(C195)&lt;=6),2,IF(AND(MONTH(C195)&gt;=7,MONTH(C195)&lt;=9),3,4))))</f>
        <v>2</v>
      </c>
      <c r="D196" s="6"/>
      <c r="E196" s="38" t="s">
        <v>16</v>
      </c>
      <c r="F196" s="39"/>
    </row>
    <row r="197" spans="1:6" ht="15.75" thickBot="1">
      <c r="A197" s="6"/>
      <c r="B197" s="4" t="s">
        <v>17</v>
      </c>
      <c r="C197" s="37">
        <v>43208</v>
      </c>
      <c r="D197" s="6"/>
      <c r="E197" s="38" t="s">
        <v>18</v>
      </c>
      <c r="F197" s="39"/>
    </row>
    <row r="198" spans="1:6" ht="15.75" thickBot="1">
      <c r="A198" s="6"/>
      <c r="B198" s="4" t="s">
        <v>15</v>
      </c>
      <c r="C198" s="40">
        <f>IF(C197="","",IF(AND(MONTH(C197)&gt;=1,MONTH(C197)&lt;=3),1,IF(AND(MONTH(C197)&gt;=4,MONTH(C197)&lt;=6),2,IF(AND(MONTH(C197)&gt;=7,MONTH(C197)&lt;=9),3,4))))</f>
        <v>2</v>
      </c>
      <c r="D198" s="6"/>
      <c r="E198" s="38" t="s">
        <v>19</v>
      </c>
      <c r="F198" s="39"/>
    </row>
    <row r="199" spans="1:6" ht="17.25" thickBot="1">
      <c r="A199" s="36"/>
      <c r="B199" s="36"/>
      <c r="C199" s="36"/>
      <c r="D199" s="36"/>
      <c r="E199" s="36"/>
      <c r="F199" s="36"/>
    </row>
    <row r="200" spans="1:6" ht="15.75" thickBot="1">
      <c r="A200" s="41" t="s">
        <v>43</v>
      </c>
      <c r="B200" s="41" t="s">
        <v>44</v>
      </c>
      <c r="C200" s="41" t="s">
        <v>45</v>
      </c>
      <c r="D200" s="41" t="s">
        <v>46</v>
      </c>
      <c r="E200" s="41" t="s">
        <v>47</v>
      </c>
      <c r="F200" s="41" t="s">
        <v>48</v>
      </c>
    </row>
    <row r="201" spans="1:6" ht="22.5">
      <c r="A201" s="42" t="s">
        <v>77</v>
      </c>
      <c r="B201" s="43" t="str">
        <f ca="1">IFERROR(INDEX(UNSPSCDes,MATCH(INDIRECT(ADDRESS(ROW(),COLUMN()-1,4)),UNSPSCCode,0)),IF(INDIRECT(ADDRESS(ROW(),COLUMN()-1,4))="90101603","Servicios de cáterin",""))</f>
        <v>Servicios de cáterin</v>
      </c>
      <c r="C201" s="44" t="str">
        <f>IFERROR(VLOOKUP("UD",'[1]Informacion '!P:Q,2,FALSE),"")</f>
        <v>Unidad</v>
      </c>
      <c r="D201" s="42">
        <v>2</v>
      </c>
      <c r="E201" s="45">
        <v>25000</v>
      </c>
      <c r="F201" s="46">
        <f ca="1">INDIRECT(ADDRESS(ROW(),COLUMN()-2,4))*INDIRECT(ADDRESS(ROW(),COLUMN()-1,4))</f>
        <v>50000</v>
      </c>
    </row>
    <row r="202" spans="1:6" ht="16.5">
      <c r="A202" s="36"/>
      <c r="B202" s="36"/>
      <c r="C202" s="36"/>
      <c r="D202" s="36"/>
      <c r="E202" s="47" t="s">
        <v>50</v>
      </c>
      <c r="F202" s="48">
        <f ca="1">SUM(Table16[MONTO TOTAL ESTIMADO])</f>
        <v>50000</v>
      </c>
    </row>
    <row r="203" spans="1:6" ht="17.25" thickBot="1">
      <c r="A203" s="36"/>
      <c r="B203" s="36"/>
      <c r="C203" s="36"/>
      <c r="D203" s="36"/>
      <c r="E203" s="36"/>
      <c r="F203" s="36"/>
    </row>
    <row r="204" spans="1:6" ht="34.5" thickBot="1">
      <c r="A204" s="1" t="s">
        <v>0</v>
      </c>
      <c r="B204" s="1" t="s">
        <v>1</v>
      </c>
      <c r="C204" s="1" t="s">
        <v>2</v>
      </c>
      <c r="D204" s="1" t="s">
        <v>3</v>
      </c>
      <c r="E204" s="1" t="s">
        <v>4</v>
      </c>
      <c r="F204" s="1" t="s">
        <v>5</v>
      </c>
    </row>
    <row r="205" spans="1:6" ht="15.75" thickBot="1">
      <c r="A205" s="2" t="s">
        <v>78</v>
      </c>
      <c r="B205" s="2" t="s">
        <v>79</v>
      </c>
      <c r="C205" s="2" t="s">
        <v>8</v>
      </c>
      <c r="D205" s="2" t="s">
        <v>80</v>
      </c>
      <c r="E205" s="2" t="s">
        <v>42</v>
      </c>
      <c r="F205" s="2"/>
    </row>
    <row r="206" spans="1:6" ht="15.75" thickBot="1">
      <c r="A206" s="3" t="s">
        <v>11</v>
      </c>
      <c r="B206" s="4" t="s">
        <v>12</v>
      </c>
      <c r="C206" s="37">
        <v>43195</v>
      </c>
      <c r="D206" s="3" t="s">
        <v>13</v>
      </c>
      <c r="E206" s="38" t="s">
        <v>14</v>
      </c>
      <c r="F206" s="39"/>
    </row>
    <row r="207" spans="1:6" ht="15.75" thickBot="1">
      <c r="A207" s="6"/>
      <c r="B207" s="4" t="s">
        <v>15</v>
      </c>
      <c r="C207" s="40">
        <f>IF(C206="","",IF(AND(MONTH(C206)&gt;=1,MONTH(C206)&lt;=3),1,IF(AND(MONTH(C206)&gt;=4,MONTH(C206)&lt;=6),2,IF(AND(MONTH(C206)&gt;=7,MONTH(C206)&lt;=9),3,4))))</f>
        <v>2</v>
      </c>
      <c r="D207" s="6"/>
      <c r="E207" s="38" t="s">
        <v>16</v>
      </c>
      <c r="F207" s="39"/>
    </row>
    <row r="208" spans="1:6" ht="15.75" thickBot="1">
      <c r="A208" s="6"/>
      <c r="B208" s="4" t="s">
        <v>17</v>
      </c>
      <c r="C208" s="37">
        <v>43204</v>
      </c>
      <c r="D208" s="6"/>
      <c r="E208" s="38" t="s">
        <v>18</v>
      </c>
      <c r="F208" s="39"/>
    </row>
    <row r="209" spans="1:6" ht="15.75" thickBot="1">
      <c r="A209" s="6"/>
      <c r="B209" s="4" t="s">
        <v>15</v>
      </c>
      <c r="C209" s="40">
        <f>IF(C208="","",IF(AND(MONTH(C208)&gt;=1,MONTH(C208)&lt;=3),1,IF(AND(MONTH(C208)&gt;=4,MONTH(C208)&lt;=6),2,IF(AND(MONTH(C208)&gt;=7,MONTH(C208)&lt;=9),3,4))))</f>
        <v>2</v>
      </c>
      <c r="D209" s="6"/>
      <c r="E209" s="38" t="s">
        <v>19</v>
      </c>
      <c r="F209" s="39"/>
    </row>
    <row r="210" spans="1:6" ht="17.25" thickBot="1">
      <c r="A210" s="36"/>
      <c r="B210" s="36"/>
      <c r="C210" s="36"/>
      <c r="D210" s="36"/>
      <c r="E210" s="36"/>
      <c r="F210" s="36"/>
    </row>
    <row r="211" spans="1:6" ht="15.75" thickBot="1">
      <c r="A211" s="41" t="s">
        <v>43</v>
      </c>
      <c r="B211" s="41" t="s">
        <v>44</v>
      </c>
      <c r="C211" s="41" t="s">
        <v>45</v>
      </c>
      <c r="D211" s="41" t="s">
        <v>46</v>
      </c>
      <c r="E211" s="41" t="s">
        <v>47</v>
      </c>
      <c r="F211" s="41" t="s">
        <v>48</v>
      </c>
    </row>
    <row r="212" spans="1:6" ht="22.5">
      <c r="A212" s="42" t="s">
        <v>81</v>
      </c>
      <c r="B212" s="43" t="str">
        <f ca="1">IFERROR(INDEX(UNSPSCDes,MATCH(INDIRECT(ADDRESS(ROW(),COLUMN()-1,4)),UNSPSCCode,0)),IF(INDIRECT(ADDRESS(ROW(),COLUMN()-1,4))="84111603","Auditorias internas",""))</f>
        <v>Auditorias internas</v>
      </c>
      <c r="C212" s="44" t="str">
        <f>IFERROR(VLOOKUP("UD",'[1]Informacion '!P:Q,2,FALSE),"")</f>
        <v>Unidad</v>
      </c>
      <c r="D212" s="42">
        <v>15</v>
      </c>
      <c r="E212" s="45">
        <v>87000</v>
      </c>
      <c r="F212" s="46">
        <f ca="1">INDIRECT(ADDRESS(ROW(),COLUMN()-2,4))*INDIRECT(ADDRESS(ROW(),COLUMN()-1,4))</f>
        <v>1305000</v>
      </c>
    </row>
    <row r="213" spans="1:6" ht="16.5">
      <c r="A213" s="36"/>
      <c r="B213" s="36"/>
      <c r="C213" s="36"/>
      <c r="D213" s="36"/>
      <c r="E213" s="47" t="s">
        <v>50</v>
      </c>
      <c r="F213" s="48">
        <f ca="1">SUM(Table17[MONTO TOTAL ESTIMADO])</f>
        <v>1305000</v>
      </c>
    </row>
    <row r="214" spans="1:6" ht="17.25" thickBot="1">
      <c r="A214" s="36"/>
      <c r="B214" s="36"/>
      <c r="C214" s="36"/>
      <c r="D214" s="36"/>
      <c r="E214" s="36"/>
      <c r="F214" s="36"/>
    </row>
    <row r="215" spans="1:6" ht="34.5" thickBot="1">
      <c r="A215" s="1" t="s">
        <v>0</v>
      </c>
      <c r="B215" s="1" t="s">
        <v>1</v>
      </c>
      <c r="C215" s="1" t="s">
        <v>2</v>
      </c>
      <c r="D215" s="1" t="s">
        <v>3</v>
      </c>
      <c r="E215" s="1" t="s">
        <v>4</v>
      </c>
      <c r="F215" s="1" t="s">
        <v>5</v>
      </c>
    </row>
    <row r="216" spans="1:6" ht="15.75" thickBot="1">
      <c r="A216" s="2" t="s">
        <v>75</v>
      </c>
      <c r="B216" s="2" t="s">
        <v>82</v>
      </c>
      <c r="C216" s="2" t="s">
        <v>8</v>
      </c>
      <c r="D216" s="2" t="s">
        <v>62</v>
      </c>
      <c r="E216" s="2" t="s">
        <v>63</v>
      </c>
      <c r="F216" s="2"/>
    </row>
    <row r="217" spans="1:6" ht="15.75" thickBot="1">
      <c r="A217" s="3" t="s">
        <v>11</v>
      </c>
      <c r="B217" s="4" t="s">
        <v>12</v>
      </c>
      <c r="C217" s="37">
        <v>43257</v>
      </c>
      <c r="D217" s="3" t="s">
        <v>13</v>
      </c>
      <c r="E217" s="38" t="s">
        <v>14</v>
      </c>
      <c r="F217" s="39"/>
    </row>
    <row r="218" spans="1:6" ht="15.75" thickBot="1">
      <c r="A218" s="6"/>
      <c r="B218" s="4" t="s">
        <v>15</v>
      </c>
      <c r="C218" s="40">
        <f>IF(C217="","",IF(AND(MONTH(C217)&gt;=1,MONTH(C217)&lt;=3),1,IF(AND(MONTH(C217)&gt;=4,MONTH(C217)&lt;=6),2,IF(AND(MONTH(C217)&gt;=7,MONTH(C217)&lt;=9),3,4))))</f>
        <v>2</v>
      </c>
      <c r="D218" s="6"/>
      <c r="E218" s="38" t="s">
        <v>16</v>
      </c>
      <c r="F218" s="39"/>
    </row>
    <row r="219" spans="1:6" ht="15.75" thickBot="1">
      <c r="A219" s="6"/>
      <c r="B219" s="4" t="s">
        <v>17</v>
      </c>
      <c r="C219" s="37">
        <v>43258</v>
      </c>
      <c r="D219" s="6"/>
      <c r="E219" s="38" t="s">
        <v>18</v>
      </c>
      <c r="F219" s="39"/>
    </row>
    <row r="220" spans="1:6" ht="15.75" thickBot="1">
      <c r="A220" s="6"/>
      <c r="B220" s="4" t="s">
        <v>15</v>
      </c>
      <c r="C220" s="40">
        <f>IF(C219="","",IF(AND(MONTH(C219)&gt;=1,MONTH(C219)&lt;=3),1,IF(AND(MONTH(C219)&gt;=4,MONTH(C219)&lt;=6),2,IF(AND(MONTH(C219)&gt;=7,MONTH(C219)&lt;=9),3,4))))</f>
        <v>2</v>
      </c>
      <c r="D220" s="6"/>
      <c r="E220" s="38" t="s">
        <v>19</v>
      </c>
      <c r="F220" s="39"/>
    </row>
    <row r="221" spans="1:6" ht="17.25" thickBot="1">
      <c r="A221" s="36"/>
      <c r="B221" s="36"/>
      <c r="C221" s="36"/>
      <c r="D221" s="36"/>
      <c r="E221" s="36"/>
      <c r="F221" s="36"/>
    </row>
    <row r="222" spans="1:6" ht="15.75" thickBot="1">
      <c r="A222" s="41" t="s">
        <v>43</v>
      </c>
      <c r="B222" s="41" t="s">
        <v>44</v>
      </c>
      <c r="C222" s="41" t="s">
        <v>45</v>
      </c>
      <c r="D222" s="41" t="s">
        <v>46</v>
      </c>
      <c r="E222" s="41" t="s">
        <v>47</v>
      </c>
      <c r="F222" s="41" t="s">
        <v>48</v>
      </c>
    </row>
    <row r="223" spans="1:6" ht="22.5">
      <c r="A223" s="42" t="s">
        <v>77</v>
      </c>
      <c r="B223" s="43" t="str">
        <f ca="1">IFERROR(INDEX(UNSPSCDes,MATCH(INDIRECT(ADDRESS(ROW(),COLUMN()-1,4)),UNSPSCCode,0)),IF(INDIRECT(ADDRESS(ROW(),COLUMN()-1,4))="90101603","Servicios de cáterin",""))</f>
        <v>Servicios de cáterin</v>
      </c>
      <c r="C223" s="44" t="str">
        <f>IFERROR(VLOOKUP("UD",'[1]Informacion '!P:Q,2,FALSE),"")</f>
        <v>Unidad</v>
      </c>
      <c r="D223" s="42">
        <v>1</v>
      </c>
      <c r="E223" s="45">
        <v>10000</v>
      </c>
      <c r="F223" s="46">
        <f ca="1">INDIRECT(ADDRESS(ROW(),COLUMN()-2,4))*INDIRECT(ADDRESS(ROW(),COLUMN()-1,4))</f>
        <v>10000</v>
      </c>
    </row>
    <row r="224" spans="1:6" ht="16.5">
      <c r="A224" s="36"/>
      <c r="B224" s="36"/>
      <c r="C224" s="36"/>
      <c r="D224" s="36"/>
      <c r="E224" s="47" t="s">
        <v>50</v>
      </c>
      <c r="F224" s="48">
        <f ca="1">SUM(Table18[MONTO TOTAL ESTIMADO])</f>
        <v>10000</v>
      </c>
    </row>
    <row r="225" spans="1:6" ht="17.25" thickBot="1">
      <c r="A225" s="36"/>
      <c r="B225" s="36"/>
      <c r="C225" s="36"/>
      <c r="D225" s="36"/>
      <c r="E225" s="36"/>
      <c r="F225" s="36"/>
    </row>
    <row r="226" spans="1:6" ht="34.5" thickBot="1">
      <c r="A226" s="1" t="s">
        <v>0</v>
      </c>
      <c r="B226" s="1" t="s">
        <v>1</v>
      </c>
      <c r="C226" s="1" t="s">
        <v>2</v>
      </c>
      <c r="D226" s="1" t="s">
        <v>3</v>
      </c>
      <c r="E226" s="1" t="s">
        <v>4</v>
      </c>
      <c r="F226" s="1" t="s">
        <v>5</v>
      </c>
    </row>
    <row r="227" spans="1:6" ht="15.75" thickBot="1">
      <c r="A227" s="2" t="s">
        <v>83</v>
      </c>
      <c r="B227" s="2" t="s">
        <v>84</v>
      </c>
      <c r="C227" s="2" t="s">
        <v>8</v>
      </c>
      <c r="D227" s="2" t="s">
        <v>80</v>
      </c>
      <c r="E227" s="2" t="s">
        <v>63</v>
      </c>
      <c r="F227" s="2"/>
    </row>
    <row r="228" spans="1:6" ht="15.75" thickBot="1">
      <c r="A228" s="3" t="s">
        <v>11</v>
      </c>
      <c r="B228" s="4" t="s">
        <v>12</v>
      </c>
      <c r="C228" s="37">
        <v>43222</v>
      </c>
      <c r="D228" s="3" t="s">
        <v>13</v>
      </c>
      <c r="E228" s="38" t="s">
        <v>14</v>
      </c>
      <c r="F228" s="39"/>
    </row>
    <row r="229" spans="1:6" ht="15.75" thickBot="1">
      <c r="A229" s="6"/>
      <c r="B229" s="4" t="s">
        <v>15</v>
      </c>
      <c r="C229" s="40">
        <f>IF(C228="","",IF(AND(MONTH(C228)&gt;=1,MONTH(C228)&lt;=3),1,IF(AND(MONTH(C228)&gt;=4,MONTH(C228)&lt;=6),2,IF(AND(MONTH(C228)&gt;=7,MONTH(C228)&lt;=9),3,4))))</f>
        <v>2</v>
      </c>
      <c r="D229" s="6"/>
      <c r="E229" s="38" t="s">
        <v>16</v>
      </c>
      <c r="F229" s="39"/>
    </row>
    <row r="230" spans="1:6" ht="15.75" thickBot="1">
      <c r="A230" s="6"/>
      <c r="B230" s="4" t="s">
        <v>17</v>
      </c>
      <c r="C230" s="37">
        <v>43231</v>
      </c>
      <c r="D230" s="6"/>
      <c r="E230" s="38" t="s">
        <v>18</v>
      </c>
      <c r="F230" s="39"/>
    </row>
    <row r="231" spans="1:6" ht="15.75" thickBot="1">
      <c r="A231" s="6"/>
      <c r="B231" s="4" t="s">
        <v>15</v>
      </c>
      <c r="C231" s="40">
        <f>IF(C230="","",IF(AND(MONTH(C230)&gt;=1,MONTH(C230)&lt;=3),1,IF(AND(MONTH(C230)&gt;=4,MONTH(C230)&lt;=6),2,IF(AND(MONTH(C230)&gt;=7,MONTH(C230)&lt;=9),3,4))))</f>
        <v>2</v>
      </c>
      <c r="D231" s="6"/>
      <c r="E231" s="38" t="s">
        <v>19</v>
      </c>
      <c r="F231" s="39"/>
    </row>
    <row r="232" spans="1:6" ht="17.25" thickBot="1">
      <c r="A232" s="36"/>
      <c r="B232" s="36"/>
      <c r="C232" s="36"/>
      <c r="D232" s="36"/>
      <c r="E232" s="36"/>
      <c r="F232" s="36"/>
    </row>
    <row r="233" spans="1:6" ht="15.75" thickBot="1">
      <c r="A233" s="41" t="s">
        <v>43</v>
      </c>
      <c r="B233" s="41" t="s">
        <v>44</v>
      </c>
      <c r="C233" s="41" t="s">
        <v>45</v>
      </c>
      <c r="D233" s="41" t="s">
        <v>46</v>
      </c>
      <c r="E233" s="41" t="s">
        <v>47</v>
      </c>
      <c r="F233" s="41" t="s">
        <v>48</v>
      </c>
    </row>
    <row r="234" spans="1:6" ht="33.75">
      <c r="A234" s="42" t="s">
        <v>85</v>
      </c>
      <c r="B234" s="43" t="str">
        <f ca="1">IFERROR(INDEX(UNSPSCDes,MATCH(INDIRECT(ADDRESS(ROW(),COLUMN()-1,4)),UNSPSCCode,0)),IF(INDIRECT(ADDRESS(ROW(),COLUMN()-1,4))="81112202","Actualizaciones o parches de software",""))</f>
        <v>Actualizaciones o parches de software</v>
      </c>
      <c r="C234" s="44" t="str">
        <f>IFERROR(VLOOKUP("UD",'[1]Informacion '!P:Q,2,FALSE),"")</f>
        <v>Unidad</v>
      </c>
      <c r="D234" s="42">
        <v>1</v>
      </c>
      <c r="E234" s="45">
        <v>528000</v>
      </c>
      <c r="F234" s="46">
        <f ca="1">INDIRECT(ADDRESS(ROW(),COLUMN()-2,4))*INDIRECT(ADDRESS(ROW(),COLUMN()-1,4))</f>
        <v>528000</v>
      </c>
    </row>
    <row r="235" spans="1:6" ht="16.5">
      <c r="A235" s="36"/>
      <c r="B235" s="36"/>
      <c r="C235" s="36"/>
      <c r="D235" s="36"/>
      <c r="E235" s="47" t="s">
        <v>50</v>
      </c>
      <c r="F235" s="48">
        <f ca="1">SUM(Table19[MONTO TOTAL ESTIMADO])</f>
        <v>528000</v>
      </c>
    </row>
    <row r="236" spans="1:6" ht="17.25" thickBot="1">
      <c r="A236" s="36"/>
      <c r="B236" s="36"/>
      <c r="C236" s="36"/>
      <c r="D236" s="36"/>
      <c r="E236" s="36"/>
      <c r="F236" s="36"/>
    </row>
    <row r="237" spans="1:6" ht="34.5" thickBot="1">
      <c r="A237" s="1" t="s">
        <v>0</v>
      </c>
      <c r="B237" s="1" t="s">
        <v>1</v>
      </c>
      <c r="C237" s="1" t="s">
        <v>2</v>
      </c>
      <c r="D237" s="1" t="s">
        <v>3</v>
      </c>
      <c r="E237" s="1" t="s">
        <v>4</v>
      </c>
      <c r="F237" s="1" t="s">
        <v>5</v>
      </c>
    </row>
    <row r="238" spans="1:6" ht="15.75" thickBot="1">
      <c r="A238" s="2" t="s">
        <v>86</v>
      </c>
      <c r="B238" s="2" t="s">
        <v>87</v>
      </c>
      <c r="C238" s="2" t="s">
        <v>8</v>
      </c>
      <c r="D238" s="2" t="s">
        <v>88</v>
      </c>
      <c r="E238" s="2" t="s">
        <v>42</v>
      </c>
      <c r="F238" s="2"/>
    </row>
    <row r="239" spans="1:6" ht="15.75" thickBot="1">
      <c r="A239" s="3" t="s">
        <v>11</v>
      </c>
      <c r="B239" s="4" t="s">
        <v>12</v>
      </c>
      <c r="C239" s="37">
        <v>43201</v>
      </c>
      <c r="D239" s="3" t="s">
        <v>13</v>
      </c>
      <c r="E239" s="38" t="s">
        <v>14</v>
      </c>
      <c r="F239" s="39"/>
    </row>
    <row r="240" spans="1:6" ht="15.75" thickBot="1">
      <c r="A240" s="6"/>
      <c r="B240" s="4" t="s">
        <v>15</v>
      </c>
      <c r="C240" s="40">
        <f>IF(C239="","",IF(AND(MONTH(C239)&gt;=1,MONTH(C239)&lt;=3),1,IF(AND(MONTH(C239)&gt;=4,MONTH(C239)&lt;=6),2,IF(AND(MONTH(C239)&gt;=7,MONTH(C239)&lt;=9),3,4))))</f>
        <v>2</v>
      </c>
      <c r="D240" s="6"/>
      <c r="E240" s="38" t="s">
        <v>16</v>
      </c>
      <c r="F240" s="39"/>
    </row>
    <row r="241" spans="1:6" ht="15.75" thickBot="1">
      <c r="A241" s="6"/>
      <c r="B241" s="4" t="s">
        <v>17</v>
      </c>
      <c r="C241" s="37">
        <v>43238</v>
      </c>
      <c r="D241" s="6"/>
      <c r="E241" s="38" t="s">
        <v>18</v>
      </c>
      <c r="F241" s="39"/>
    </row>
    <row r="242" spans="1:6" ht="15.75" thickBot="1">
      <c r="A242" s="6"/>
      <c r="B242" s="4" t="s">
        <v>15</v>
      </c>
      <c r="C242" s="40">
        <f>IF(C241="","",IF(AND(MONTH(C241)&gt;=1,MONTH(C241)&lt;=3),1,IF(AND(MONTH(C241)&gt;=4,MONTH(C241)&lt;=6),2,IF(AND(MONTH(C241)&gt;=7,MONTH(C241)&lt;=9),3,4))))</f>
        <v>2</v>
      </c>
      <c r="D242" s="6"/>
      <c r="E242" s="38" t="s">
        <v>19</v>
      </c>
      <c r="F242" s="39"/>
    </row>
    <row r="243" spans="1:6" ht="17.25" thickBot="1">
      <c r="A243" s="36"/>
      <c r="B243" s="36"/>
      <c r="C243" s="36"/>
      <c r="D243" s="36"/>
      <c r="E243" s="36"/>
      <c r="F243" s="36"/>
    </row>
    <row r="244" spans="1:6" ht="15.75" thickBot="1">
      <c r="A244" s="41" t="s">
        <v>43</v>
      </c>
      <c r="B244" s="41" t="s">
        <v>44</v>
      </c>
      <c r="C244" s="41" t="s">
        <v>45</v>
      </c>
      <c r="D244" s="41" t="s">
        <v>46</v>
      </c>
      <c r="E244" s="41" t="s">
        <v>47</v>
      </c>
      <c r="F244" s="41" t="s">
        <v>48</v>
      </c>
    </row>
    <row r="245" spans="1:6" ht="33.75">
      <c r="A245" s="42" t="s">
        <v>89</v>
      </c>
      <c r="B245" s="43" t="str">
        <f ca="1">IFERROR(INDEX(UNSPSCDes,MATCH(INDIRECT(ADDRESS(ROW(),COLUMN()-1,4)),UNSPSCCode,0)),IF(INDIRECT(ADDRESS(ROW(),COLUMN()-1,4))="43231512","Software de manejo de licencias",""))</f>
        <v>Software de manejo de licencias</v>
      </c>
      <c r="C245" s="44" t="str">
        <f>IFERROR(VLOOKUP("UD",'[1]Informacion '!P:Q,2,FALSE),"")</f>
        <v>Unidad</v>
      </c>
      <c r="D245" s="42">
        <v>12</v>
      </c>
      <c r="E245" s="45">
        <v>282582.27</v>
      </c>
      <c r="F245" s="46">
        <f ca="1">INDIRECT(ADDRESS(ROW(),COLUMN()-2,4))*INDIRECT(ADDRESS(ROW(),COLUMN()-1,4))</f>
        <v>3390987.24</v>
      </c>
    </row>
    <row r="246" spans="1:6" ht="16.5">
      <c r="A246" s="36"/>
      <c r="B246" s="36"/>
      <c r="C246" s="36"/>
      <c r="D246" s="36"/>
      <c r="E246" s="47" t="s">
        <v>50</v>
      </c>
      <c r="F246" s="48">
        <f ca="1">SUM(Table20[MONTO TOTAL ESTIMADO])</f>
        <v>3390987.24</v>
      </c>
    </row>
    <row r="247" spans="1:6" ht="17.25" thickBot="1">
      <c r="A247" s="36"/>
      <c r="B247" s="36"/>
      <c r="C247" s="36"/>
      <c r="D247" s="36"/>
      <c r="E247" s="36"/>
      <c r="F247" s="36"/>
    </row>
    <row r="248" spans="1:6" ht="34.5" thickBot="1">
      <c r="A248" s="1" t="s">
        <v>0</v>
      </c>
      <c r="B248" s="1" t="s">
        <v>1</v>
      </c>
      <c r="C248" s="1" t="s">
        <v>2</v>
      </c>
      <c r="D248" s="1" t="s">
        <v>3</v>
      </c>
      <c r="E248" s="1" t="s">
        <v>4</v>
      </c>
      <c r="F248" s="1" t="s">
        <v>5</v>
      </c>
    </row>
    <row r="249" spans="1:6" ht="15.75" thickBot="1">
      <c r="A249" s="2" t="s">
        <v>86</v>
      </c>
      <c r="B249" s="2" t="s">
        <v>90</v>
      </c>
      <c r="C249" s="2" t="s">
        <v>8</v>
      </c>
      <c r="D249" s="2" t="s">
        <v>62</v>
      </c>
      <c r="E249" s="2" t="s">
        <v>63</v>
      </c>
      <c r="F249" s="2"/>
    </row>
    <row r="250" spans="1:6" ht="15.75" thickBot="1">
      <c r="A250" s="3" t="s">
        <v>11</v>
      </c>
      <c r="B250" s="4" t="s">
        <v>12</v>
      </c>
      <c r="C250" s="37">
        <v>43197</v>
      </c>
      <c r="D250" s="3" t="s">
        <v>13</v>
      </c>
      <c r="E250" s="38" t="s">
        <v>14</v>
      </c>
      <c r="F250" s="39"/>
    </row>
    <row r="251" spans="1:6" ht="15.75" thickBot="1">
      <c r="A251" s="6"/>
      <c r="B251" s="4" t="s">
        <v>15</v>
      </c>
      <c r="C251" s="40">
        <f>IF(C250="","",IF(AND(MONTH(C250)&gt;=1,MONTH(C250)&lt;=3),1,IF(AND(MONTH(C250)&gt;=4,MONTH(C250)&lt;=6),2,IF(AND(MONTH(C250)&gt;=7,MONTH(C250)&lt;=9),3,4))))</f>
        <v>2</v>
      </c>
      <c r="D251" s="6"/>
      <c r="E251" s="38" t="s">
        <v>16</v>
      </c>
      <c r="F251" s="39"/>
    </row>
    <row r="252" spans="1:6" ht="15.75" thickBot="1">
      <c r="A252" s="6"/>
      <c r="B252" s="4" t="s">
        <v>17</v>
      </c>
      <c r="C252" s="37">
        <v>43200</v>
      </c>
      <c r="D252" s="6"/>
      <c r="E252" s="38" t="s">
        <v>18</v>
      </c>
      <c r="F252" s="39"/>
    </row>
    <row r="253" spans="1:6" ht="15.75" thickBot="1">
      <c r="A253" s="6"/>
      <c r="B253" s="4" t="s">
        <v>15</v>
      </c>
      <c r="C253" s="40">
        <f>IF(C252="","",IF(AND(MONTH(C252)&gt;=1,MONTH(C252)&lt;=3),1,IF(AND(MONTH(C252)&gt;=4,MONTH(C252)&lt;=6),2,IF(AND(MONTH(C252)&gt;=7,MONTH(C252)&lt;=9),3,4))))</f>
        <v>2</v>
      </c>
      <c r="D253" s="6"/>
      <c r="E253" s="38" t="s">
        <v>19</v>
      </c>
      <c r="F253" s="39"/>
    </row>
    <row r="254" spans="1:6" ht="17.25" thickBot="1">
      <c r="A254" s="36"/>
      <c r="B254" s="36"/>
      <c r="C254" s="36"/>
      <c r="D254" s="36"/>
      <c r="E254" s="36"/>
      <c r="F254" s="36"/>
    </row>
    <row r="255" spans="1:6" ht="15.75" thickBot="1">
      <c r="A255" s="41" t="s">
        <v>43</v>
      </c>
      <c r="B255" s="41" t="s">
        <v>44</v>
      </c>
      <c r="C255" s="41" t="s">
        <v>45</v>
      </c>
      <c r="D255" s="41" t="s">
        <v>46</v>
      </c>
      <c r="E255" s="41" t="s">
        <v>47</v>
      </c>
      <c r="F255" s="41" t="s">
        <v>48</v>
      </c>
    </row>
    <row r="256" spans="1:6" ht="33.75">
      <c r="A256" s="42" t="s">
        <v>89</v>
      </c>
      <c r="B256" s="43" t="str">
        <f ca="1">IFERROR(INDEX(UNSPSCDes,MATCH(INDIRECT(ADDRESS(ROW(),COLUMN()-1,4)),UNSPSCCode,0)),IF(INDIRECT(ADDRESS(ROW(),COLUMN()-1,4))="43231512","Software de manejo de licencias",""))</f>
        <v>Software de manejo de licencias</v>
      </c>
      <c r="C256" s="44" t="str">
        <f>IFERROR(VLOOKUP("UD",'[1]Informacion '!P:Q,2,FALSE),"")</f>
        <v>Unidad</v>
      </c>
      <c r="D256" s="42">
        <v>1</v>
      </c>
      <c r="E256" s="45">
        <v>45000</v>
      </c>
      <c r="F256" s="46">
        <f ca="1">INDIRECT(ADDRESS(ROW(),COLUMN()-2,4))*INDIRECT(ADDRESS(ROW(),COLUMN()-1,4))</f>
        <v>45000</v>
      </c>
    </row>
    <row r="257" spans="1:6" ht="16.5">
      <c r="A257" s="36"/>
      <c r="B257" s="36"/>
      <c r="C257" s="36"/>
      <c r="D257" s="36"/>
      <c r="E257" s="47" t="s">
        <v>50</v>
      </c>
      <c r="F257" s="48">
        <f ca="1">SUM(Table21[MONTO TOTAL ESTIMADO])</f>
        <v>45000</v>
      </c>
    </row>
    <row r="258" spans="1:6" ht="17.25" thickBot="1">
      <c r="A258" s="36"/>
      <c r="B258" s="36"/>
      <c r="C258" s="36"/>
      <c r="D258" s="36"/>
      <c r="E258" s="36"/>
      <c r="F258" s="36"/>
    </row>
    <row r="259" spans="1:6" ht="34.5" thickBot="1">
      <c r="A259" s="1" t="s">
        <v>0</v>
      </c>
      <c r="B259" s="1" t="s">
        <v>1</v>
      </c>
      <c r="C259" s="1" t="s">
        <v>2</v>
      </c>
      <c r="D259" s="1" t="s">
        <v>3</v>
      </c>
      <c r="E259" s="1" t="s">
        <v>4</v>
      </c>
      <c r="F259" s="1" t="s">
        <v>5</v>
      </c>
    </row>
    <row r="260" spans="1:6" ht="15.75" thickBot="1">
      <c r="A260" s="2" t="s">
        <v>91</v>
      </c>
      <c r="B260" s="2" t="s">
        <v>92</v>
      </c>
      <c r="C260" s="2" t="s">
        <v>8</v>
      </c>
      <c r="D260" s="2" t="s">
        <v>62</v>
      </c>
      <c r="E260" s="2" t="s">
        <v>42</v>
      </c>
      <c r="F260" s="2"/>
    </row>
    <row r="261" spans="1:6" ht="15.75" thickBot="1">
      <c r="A261" s="3" t="s">
        <v>11</v>
      </c>
      <c r="B261" s="4" t="s">
        <v>12</v>
      </c>
      <c r="C261" s="37">
        <v>43222</v>
      </c>
      <c r="D261" s="3" t="s">
        <v>13</v>
      </c>
      <c r="E261" s="38" t="s">
        <v>14</v>
      </c>
      <c r="F261" s="39"/>
    </row>
    <row r="262" spans="1:6" ht="15.75" thickBot="1">
      <c r="A262" s="6"/>
      <c r="B262" s="4" t="s">
        <v>15</v>
      </c>
      <c r="C262" s="40">
        <f>IF(C261="","",IF(AND(MONTH(C261)&gt;=1,MONTH(C261)&lt;=3),1,IF(AND(MONTH(C261)&gt;=4,MONTH(C261)&lt;=6),2,IF(AND(MONTH(C261)&gt;=7,MONTH(C261)&lt;=9),3,4))))</f>
        <v>2</v>
      </c>
      <c r="D262" s="6"/>
      <c r="E262" s="38" t="s">
        <v>16</v>
      </c>
      <c r="F262" s="39"/>
    </row>
    <row r="263" spans="1:6" ht="15.75" thickBot="1">
      <c r="A263" s="6"/>
      <c r="B263" s="4" t="s">
        <v>17</v>
      </c>
      <c r="C263" s="37">
        <v>43223</v>
      </c>
      <c r="D263" s="6"/>
      <c r="E263" s="38" t="s">
        <v>18</v>
      </c>
      <c r="F263" s="39"/>
    </row>
    <row r="264" spans="1:6" ht="15.75" thickBot="1">
      <c r="A264" s="6"/>
      <c r="B264" s="4" t="s">
        <v>15</v>
      </c>
      <c r="C264" s="40">
        <f>IF(C263="","",IF(AND(MONTH(C263)&gt;=1,MONTH(C263)&lt;=3),1,IF(AND(MONTH(C263)&gt;=4,MONTH(C263)&lt;=6),2,IF(AND(MONTH(C263)&gt;=7,MONTH(C263)&lt;=9),3,4))))</f>
        <v>2</v>
      </c>
      <c r="D264" s="6"/>
      <c r="E264" s="38" t="s">
        <v>19</v>
      </c>
      <c r="F264" s="39"/>
    </row>
    <row r="265" spans="1:6" ht="17.25" thickBot="1">
      <c r="A265" s="36"/>
      <c r="B265" s="36"/>
      <c r="C265" s="36"/>
      <c r="D265" s="36"/>
      <c r="E265" s="36"/>
      <c r="F265" s="36"/>
    </row>
    <row r="266" spans="1:6" ht="15.75" thickBot="1">
      <c r="A266" s="41" t="s">
        <v>43</v>
      </c>
      <c r="B266" s="41" t="s">
        <v>44</v>
      </c>
      <c r="C266" s="41" t="s">
        <v>45</v>
      </c>
      <c r="D266" s="41" t="s">
        <v>46</v>
      </c>
      <c r="E266" s="41" t="s">
        <v>47</v>
      </c>
      <c r="F266" s="41" t="s">
        <v>48</v>
      </c>
    </row>
    <row r="267" spans="1:6" ht="33.75">
      <c r="A267" s="42" t="s">
        <v>89</v>
      </c>
      <c r="B267" s="43" t="str">
        <f ca="1">IFERROR(INDEX(UNSPSCDes,MATCH(INDIRECT(ADDRESS(ROW(),COLUMN()-1,4)),UNSPSCCode,0)),IF(INDIRECT(ADDRESS(ROW(),COLUMN()-1,4))="43231512","Software de manejo de licencias",""))</f>
        <v>Software de manejo de licencias</v>
      </c>
      <c r="C267" s="44" t="str">
        <f>IFERROR(VLOOKUP("UD",'[1]Informacion '!P:Q,2,FALSE),"")</f>
        <v>Unidad</v>
      </c>
      <c r="D267" s="42">
        <v>1</v>
      </c>
      <c r="E267" s="45">
        <v>8955</v>
      </c>
      <c r="F267" s="46">
        <f ca="1">INDIRECT(ADDRESS(ROW(),COLUMN()-2,4))*INDIRECT(ADDRESS(ROW(),COLUMN()-1,4))</f>
        <v>8955</v>
      </c>
    </row>
    <row r="268" spans="1:6" ht="16.5">
      <c r="A268" s="36"/>
      <c r="B268" s="36"/>
      <c r="C268" s="36"/>
      <c r="D268" s="36"/>
      <c r="E268" s="47" t="s">
        <v>50</v>
      </c>
      <c r="F268" s="48">
        <f ca="1">SUM(Table22[MONTO TOTAL ESTIMADO])</f>
        <v>8955</v>
      </c>
    </row>
    <row r="269" spans="1:6" ht="17.25" thickBot="1">
      <c r="A269" s="36"/>
      <c r="B269" s="36"/>
      <c r="C269" s="36"/>
      <c r="D269" s="36"/>
      <c r="E269" s="36"/>
      <c r="F269" s="36"/>
    </row>
    <row r="270" spans="1:6" ht="34.5" thickBot="1">
      <c r="A270" s="1" t="s">
        <v>0</v>
      </c>
      <c r="B270" s="1" t="s">
        <v>1</v>
      </c>
      <c r="C270" s="1" t="s">
        <v>2</v>
      </c>
      <c r="D270" s="1" t="s">
        <v>3</v>
      </c>
      <c r="E270" s="1" t="s">
        <v>4</v>
      </c>
      <c r="F270" s="1" t="s">
        <v>5</v>
      </c>
    </row>
    <row r="271" spans="1:6" ht="15.75" thickBot="1">
      <c r="A271" s="2" t="s">
        <v>93</v>
      </c>
      <c r="B271" s="2" t="s">
        <v>93</v>
      </c>
      <c r="C271" s="2" t="s">
        <v>40</v>
      </c>
      <c r="D271" s="2" t="s">
        <v>62</v>
      </c>
      <c r="E271" s="2" t="s">
        <v>63</v>
      </c>
      <c r="F271" s="2"/>
    </row>
    <row r="272" spans="1:6" ht="15.75" thickBot="1">
      <c r="A272" s="3" t="s">
        <v>11</v>
      </c>
      <c r="B272" s="4" t="s">
        <v>12</v>
      </c>
      <c r="C272" s="37">
        <v>43203</v>
      </c>
      <c r="D272" s="3" t="s">
        <v>13</v>
      </c>
      <c r="E272" s="38" t="s">
        <v>14</v>
      </c>
      <c r="F272" s="39"/>
    </row>
    <row r="273" spans="1:6" ht="15.75" thickBot="1">
      <c r="A273" s="6"/>
      <c r="B273" s="4" t="s">
        <v>15</v>
      </c>
      <c r="C273" s="40">
        <f>IF(C272="","",IF(AND(MONTH(C272)&gt;=1,MONTH(C272)&lt;=3),1,IF(AND(MONTH(C272)&gt;=4,MONTH(C272)&lt;=6),2,IF(AND(MONTH(C272)&gt;=7,MONTH(C272)&lt;=9),3,4))))</f>
        <v>2</v>
      </c>
      <c r="D273" s="6"/>
      <c r="E273" s="38" t="s">
        <v>16</v>
      </c>
      <c r="F273" s="39"/>
    </row>
    <row r="274" spans="1:6" ht="15.75" thickBot="1">
      <c r="A274" s="6"/>
      <c r="B274" s="4" t="s">
        <v>17</v>
      </c>
      <c r="C274" s="37">
        <v>43204</v>
      </c>
      <c r="D274" s="6"/>
      <c r="E274" s="38" t="s">
        <v>18</v>
      </c>
      <c r="F274" s="39"/>
    </row>
    <row r="275" spans="1:6" ht="15.75" thickBot="1">
      <c r="A275" s="6"/>
      <c r="B275" s="4" t="s">
        <v>15</v>
      </c>
      <c r="C275" s="40">
        <f>IF(C274="","",IF(AND(MONTH(C274)&gt;=1,MONTH(C274)&lt;=3),1,IF(AND(MONTH(C274)&gt;=4,MONTH(C274)&lt;=6),2,IF(AND(MONTH(C274)&gt;=7,MONTH(C274)&lt;=9),3,4))))</f>
        <v>2</v>
      </c>
      <c r="D275" s="6"/>
      <c r="E275" s="38" t="s">
        <v>19</v>
      </c>
      <c r="F275" s="39"/>
    </row>
    <row r="276" spans="1:6" ht="17.25" thickBot="1">
      <c r="A276" s="36"/>
      <c r="B276" s="36"/>
      <c r="C276" s="36"/>
      <c r="D276" s="36"/>
      <c r="E276" s="36"/>
      <c r="F276" s="36"/>
    </row>
    <row r="277" spans="1:6" ht="15.75" thickBot="1">
      <c r="A277" s="41" t="s">
        <v>43</v>
      </c>
      <c r="B277" s="41" t="s">
        <v>44</v>
      </c>
      <c r="C277" s="41" t="s">
        <v>45</v>
      </c>
      <c r="D277" s="41" t="s">
        <v>46</v>
      </c>
      <c r="E277" s="41" t="s">
        <v>47</v>
      </c>
      <c r="F277" s="41" t="s">
        <v>48</v>
      </c>
    </row>
    <row r="278" spans="1:6">
      <c r="A278" s="42" t="s">
        <v>94</v>
      </c>
      <c r="B278" s="43" t="str">
        <f ca="1">IFERROR(INDEX(UNSPSCDes,MATCH(INDIRECT(ADDRESS(ROW(),COLUMN()-1,4)),UNSPSCCode,0)),IF(INDIRECT(ADDRESS(ROW(),COLUMN()-1,4))="51142610","Cafeína",""))</f>
        <v>Cafeína</v>
      </c>
      <c r="C278" s="44" t="str">
        <f>IFERROR(VLOOKUP("UD",'[1]Informacion '!P:Q,2,FALSE),"")</f>
        <v>Unidad</v>
      </c>
      <c r="D278" s="42">
        <v>30</v>
      </c>
      <c r="E278" s="45">
        <v>175</v>
      </c>
      <c r="F278" s="46">
        <f ca="1">INDIRECT(ADDRESS(ROW(),COLUMN()-2,4))*INDIRECT(ADDRESS(ROW(),COLUMN()-1,4))</f>
        <v>5250</v>
      </c>
    </row>
    <row r="279" spans="1:6" ht="45">
      <c r="A279" s="42" t="s">
        <v>95</v>
      </c>
      <c r="B279" s="43" t="str">
        <f ca="1">IFERROR(INDEX(UNSPSCDes,MATCH(INDIRECT(ADDRESS(ROW(),COLUMN()-1,4)),UNSPSCCode,0)),IF(INDIRECT(ADDRESS(ROW(),COLUMN()-1,4))="50161509","Azucares naturales o productos endulzantes",""))</f>
        <v>Azucares naturales o productos endulzantes</v>
      </c>
      <c r="C279" s="44" t="str">
        <f>IFERROR(VLOOKUP("UD",'[1]Informacion '!P:Q,2,FALSE),"")</f>
        <v>Unidad</v>
      </c>
      <c r="D279" s="42">
        <v>80</v>
      </c>
      <c r="E279" s="45">
        <v>118</v>
      </c>
      <c r="F279" s="46">
        <f ca="1">INDIRECT(ADDRESS(ROW(),COLUMN()-2,4))*INDIRECT(ADDRESS(ROW(),COLUMN()-1,4))</f>
        <v>9440</v>
      </c>
    </row>
    <row r="280" spans="1:6" ht="45">
      <c r="A280" s="42" t="s">
        <v>95</v>
      </c>
      <c r="B280" s="43" t="str">
        <f ca="1">IFERROR(INDEX(UNSPSCDes,MATCH(INDIRECT(ADDRESS(ROW(),COLUMN()-1,4)),UNSPSCCode,0)),IF(INDIRECT(ADDRESS(ROW(),COLUMN()-1,4))="50161509","Azucares naturales o productos endulzantes",""))</f>
        <v>Azucares naturales o productos endulzantes</v>
      </c>
      <c r="C280" s="44" t="str">
        <f>IFERROR(VLOOKUP("UD",'[1]Informacion '!P:Q,2,FALSE),"")</f>
        <v>Unidad</v>
      </c>
      <c r="D280" s="42">
        <v>60</v>
      </c>
      <c r="E280" s="45">
        <v>100</v>
      </c>
      <c r="F280" s="46">
        <f ca="1">INDIRECT(ADDRESS(ROW(),COLUMN()-2,4))*INDIRECT(ADDRESS(ROW(),COLUMN()-1,4))</f>
        <v>6000</v>
      </c>
    </row>
    <row r="281" spans="1:6">
      <c r="A281" s="42" t="s">
        <v>94</v>
      </c>
      <c r="B281" s="43" t="str">
        <f ca="1">IFERROR(INDEX(UNSPSCDes,MATCH(INDIRECT(ADDRESS(ROW(),COLUMN()-1,4)),UNSPSCCode,0)),IF(INDIRECT(ADDRESS(ROW(),COLUMN()-1,4))="51142610","Cafeína",""))</f>
        <v>Cafeína</v>
      </c>
      <c r="C281" s="44" t="str">
        <f>IFERROR(VLOOKUP("UD",'[1]Informacion '!P:Q,2,FALSE),"")</f>
        <v>Unidad</v>
      </c>
      <c r="D281" s="42">
        <v>100</v>
      </c>
      <c r="E281" s="45">
        <v>175</v>
      </c>
      <c r="F281" s="46">
        <f ca="1">INDIRECT(ADDRESS(ROW(),COLUMN()-2,4))*INDIRECT(ADDRESS(ROW(),COLUMN()-1,4))</f>
        <v>17500</v>
      </c>
    </row>
    <row r="282" spans="1:6">
      <c r="A282" s="42" t="s">
        <v>94</v>
      </c>
      <c r="B282" s="43" t="str">
        <f ca="1">IFERROR(INDEX(UNSPSCDes,MATCH(INDIRECT(ADDRESS(ROW(),COLUMN()-1,4)),UNSPSCCode,0)),IF(INDIRECT(ADDRESS(ROW(),COLUMN()-1,4))="51142610","Cafeína",""))</f>
        <v>Cafeína</v>
      </c>
      <c r="C282" s="44" t="str">
        <f>IFERROR(VLOOKUP("UD",'[1]Informacion '!P:Q,2,FALSE),"")</f>
        <v>Unidad</v>
      </c>
      <c r="D282" s="42">
        <v>90</v>
      </c>
      <c r="E282" s="45">
        <v>175</v>
      </c>
      <c r="F282" s="46">
        <f ca="1">INDIRECT(ADDRESS(ROW(),COLUMN()-2,4))*INDIRECT(ADDRESS(ROW(),COLUMN()-1,4))</f>
        <v>15750</v>
      </c>
    </row>
    <row r="283" spans="1:6" ht="16.5">
      <c r="A283" s="36"/>
      <c r="B283" s="36"/>
      <c r="C283" s="36"/>
      <c r="D283" s="36"/>
      <c r="E283" s="47" t="s">
        <v>50</v>
      </c>
      <c r="F283" s="48">
        <f ca="1">SUM(Table23[MONTO TOTAL ESTIMADO])</f>
        <v>53940</v>
      </c>
    </row>
    <row r="284" spans="1:6" ht="17.25" thickBot="1">
      <c r="A284" s="36"/>
      <c r="B284" s="36"/>
      <c r="C284" s="36"/>
      <c r="D284" s="36"/>
      <c r="E284" s="36"/>
      <c r="F284" s="36"/>
    </row>
    <row r="285" spans="1:6" ht="34.5" thickBot="1">
      <c r="A285" s="1" t="s">
        <v>0</v>
      </c>
      <c r="B285" s="1" t="s">
        <v>1</v>
      </c>
      <c r="C285" s="1" t="s">
        <v>2</v>
      </c>
      <c r="D285" s="1" t="s">
        <v>3</v>
      </c>
      <c r="E285" s="1" t="s">
        <v>4</v>
      </c>
      <c r="F285" s="1" t="s">
        <v>5</v>
      </c>
    </row>
    <row r="286" spans="1:6" ht="15.75" thickBot="1">
      <c r="A286" s="2" t="s">
        <v>51</v>
      </c>
      <c r="B286" s="2" t="s">
        <v>51</v>
      </c>
      <c r="C286" s="2" t="s">
        <v>40</v>
      </c>
      <c r="D286" s="2" t="s">
        <v>53</v>
      </c>
      <c r="E286" s="2" t="s">
        <v>63</v>
      </c>
      <c r="F286" s="2"/>
    </row>
    <row r="287" spans="1:6" ht="15.75" thickBot="1">
      <c r="A287" s="3" t="s">
        <v>11</v>
      </c>
      <c r="B287" s="4" t="s">
        <v>12</v>
      </c>
      <c r="C287" s="37">
        <v>43204</v>
      </c>
      <c r="D287" s="3" t="s">
        <v>13</v>
      </c>
      <c r="E287" s="38" t="s">
        <v>14</v>
      </c>
      <c r="F287" s="39"/>
    </row>
    <row r="288" spans="1:6" ht="15.75" thickBot="1">
      <c r="A288" s="6"/>
      <c r="B288" s="4" t="s">
        <v>15</v>
      </c>
      <c r="C288" s="40">
        <f>IF(C287="","",IF(AND(MONTH(C287)&gt;=1,MONTH(C287)&lt;=3),1,IF(AND(MONTH(C287)&gt;=4,MONTH(C287)&lt;=6),2,IF(AND(MONTH(C287)&gt;=7,MONTH(C287)&lt;=9),3,4))))</f>
        <v>2</v>
      </c>
      <c r="D288" s="6"/>
      <c r="E288" s="38" t="s">
        <v>16</v>
      </c>
      <c r="F288" s="39"/>
    </row>
    <row r="289" spans="1:6" ht="15.75" thickBot="1">
      <c r="A289" s="6"/>
      <c r="B289" s="4" t="s">
        <v>17</v>
      </c>
      <c r="C289" s="37">
        <v>43208</v>
      </c>
      <c r="D289" s="6"/>
      <c r="E289" s="38" t="s">
        <v>18</v>
      </c>
      <c r="F289" s="39"/>
    </row>
    <row r="290" spans="1:6" ht="15.75" thickBot="1">
      <c r="A290" s="6"/>
      <c r="B290" s="4" t="s">
        <v>15</v>
      </c>
      <c r="C290" s="40">
        <f>IF(C289="","",IF(AND(MONTH(C289)&gt;=1,MONTH(C289)&lt;=3),1,IF(AND(MONTH(C289)&gt;=4,MONTH(C289)&lt;=6),2,IF(AND(MONTH(C289)&gt;=7,MONTH(C289)&lt;=9),3,4))))</f>
        <v>2</v>
      </c>
      <c r="D290" s="6"/>
      <c r="E290" s="38" t="s">
        <v>19</v>
      </c>
      <c r="F290" s="39"/>
    </row>
    <row r="291" spans="1:6" ht="17.25" thickBot="1">
      <c r="A291" s="36"/>
      <c r="B291" s="36"/>
      <c r="C291" s="36"/>
      <c r="D291" s="36"/>
      <c r="E291" s="36"/>
      <c r="F291" s="36"/>
    </row>
    <row r="292" spans="1:6" ht="15.75" thickBot="1">
      <c r="A292" s="41" t="s">
        <v>43</v>
      </c>
      <c r="B292" s="41" t="s">
        <v>44</v>
      </c>
      <c r="C292" s="41" t="s">
        <v>45</v>
      </c>
      <c r="D292" s="41" t="s">
        <v>46</v>
      </c>
      <c r="E292" s="41" t="s">
        <v>47</v>
      </c>
      <c r="F292" s="41" t="s">
        <v>48</v>
      </c>
    </row>
    <row r="293" spans="1:6" ht="45">
      <c r="A293" s="42" t="s">
        <v>96</v>
      </c>
      <c r="B293" s="43" t="str">
        <f ca="1">IFERROR(INDEX(UNSPSCDes,MATCH(INDIRECT(ADDRESS(ROW(),COLUMN()-1,4)),UNSPSCCode,0)),IF(INDIRECT(ADDRESS(ROW(),COLUMN()-1,4))="14111526","Papel libretas o libros de mensajes telefónicos",""))</f>
        <v>Papel libretas o libros de mensajes telefónicos</v>
      </c>
      <c r="C293" s="44" t="str">
        <f>IFERROR(VLOOKUP("UD",'[1]Informacion '!P:Q,2,FALSE),"")</f>
        <v>Unidad</v>
      </c>
      <c r="D293" s="42">
        <v>294</v>
      </c>
      <c r="E293" s="45">
        <v>40</v>
      </c>
      <c r="F293" s="46">
        <f t="shared" ref="F293:F318" ca="1" si="3">INDIRECT(ADDRESS(ROW(),COLUMN()-2,4))*INDIRECT(ADDRESS(ROW(),COLUMN()-1,4))</f>
        <v>11760</v>
      </c>
    </row>
    <row r="294" spans="1:6">
      <c r="A294" s="42" t="s">
        <v>97</v>
      </c>
      <c r="B294" s="43" t="str">
        <f ca="1">IFERROR(INDEX(UNSPSCDes,MATCH(INDIRECT(ADDRESS(ROW(),COLUMN()-1,4)),UNSPSCCode,0)),IF(INDIRECT(ADDRESS(ROW(),COLUMN()-1,4))="44122003","Carpetas",""))</f>
        <v>Carpetas</v>
      </c>
      <c r="C294" s="44" t="str">
        <f>IFERROR(VLOOKUP("UD",'[1]Informacion '!P:Q,2,FALSE),"")</f>
        <v>Unidad</v>
      </c>
      <c r="D294" s="42">
        <v>12</v>
      </c>
      <c r="E294" s="45">
        <v>274</v>
      </c>
      <c r="F294" s="46">
        <f t="shared" ca="1" si="3"/>
        <v>3288</v>
      </c>
    </row>
    <row r="295" spans="1:6" ht="22.5">
      <c r="A295" s="42" t="s">
        <v>98</v>
      </c>
      <c r="B295" s="43" t="str">
        <f ca="1">IFERROR(INDEX(UNSPSCDes,MATCH(INDIRECT(ADDRESS(ROW(),COLUMN()-1,4)),UNSPSCCode,0)),IF(INDIRECT(ADDRESS(ROW(),COLUMN()-1,4))="14111530","Papel de notas autoadhesivas",""))</f>
        <v>Papel de notas autoadhesivas</v>
      </c>
      <c r="C295" s="44" t="str">
        <f>IFERROR(VLOOKUP("UD",'[1]Informacion '!P:Q,2,FALSE),"")</f>
        <v>Unidad</v>
      </c>
      <c r="D295" s="42">
        <v>150</v>
      </c>
      <c r="E295" s="45">
        <v>18</v>
      </c>
      <c r="F295" s="46">
        <f t="shared" ca="1" si="3"/>
        <v>2700</v>
      </c>
    </row>
    <row r="296" spans="1:6" ht="45">
      <c r="A296" s="42" t="s">
        <v>96</v>
      </c>
      <c r="B296" s="43" t="str">
        <f ca="1">IFERROR(INDEX(UNSPSCDes,MATCH(INDIRECT(ADDRESS(ROW(),COLUMN()-1,4)),UNSPSCCode,0)),IF(INDIRECT(ADDRESS(ROW(),COLUMN()-1,4))="14111526","Papel libretas o libros de mensajes telefónicos",""))</f>
        <v>Papel libretas o libros de mensajes telefónicos</v>
      </c>
      <c r="C296" s="44" t="str">
        <f>IFERROR(VLOOKUP("UD",'[1]Informacion '!P:Q,2,FALSE),"")</f>
        <v>Unidad</v>
      </c>
      <c r="D296" s="42">
        <v>100</v>
      </c>
      <c r="E296" s="45">
        <v>22</v>
      </c>
      <c r="F296" s="46">
        <f t="shared" ca="1" si="3"/>
        <v>2200</v>
      </c>
    </row>
    <row r="297" spans="1:6" ht="22.5">
      <c r="A297" s="42" t="s">
        <v>99</v>
      </c>
      <c r="B297" s="43" t="str">
        <f ca="1">IFERROR(INDEX(UNSPSCDes,MATCH(INDIRECT(ADDRESS(ROW(),COLUMN()-1,4)),UNSPSCCode,0)),IF(INDIRECT(ADDRESS(ROW(),COLUMN()-1,4))="44101707","Unidades de grapadoras",""))</f>
        <v>Unidades de grapadoras</v>
      </c>
      <c r="C297" s="44" t="str">
        <f>IFERROR(VLOOKUP("UD",'[1]Informacion '!P:Q,2,FALSE),"")</f>
        <v>Unidad</v>
      </c>
      <c r="D297" s="42">
        <v>24</v>
      </c>
      <c r="E297" s="45">
        <v>150</v>
      </c>
      <c r="F297" s="46">
        <f t="shared" ca="1" si="3"/>
        <v>3600</v>
      </c>
    </row>
    <row r="298" spans="1:6" ht="45">
      <c r="A298" s="42" t="s">
        <v>96</v>
      </c>
      <c r="B298" s="43" t="str">
        <f ca="1">IFERROR(INDEX(UNSPSCDes,MATCH(INDIRECT(ADDRESS(ROW(),COLUMN()-1,4)),UNSPSCCode,0)),IF(INDIRECT(ADDRESS(ROW(),COLUMN()-1,4))="14111526","Papel libretas o libros de mensajes telefónicos",""))</f>
        <v>Papel libretas o libros de mensajes telefónicos</v>
      </c>
      <c r="C298" s="44" t="str">
        <f>IFERROR(VLOOKUP("UD",'[1]Informacion '!P:Q,2,FALSE),"")</f>
        <v>Unidad</v>
      </c>
      <c r="D298" s="42">
        <v>24</v>
      </c>
      <c r="E298" s="45">
        <v>150</v>
      </c>
      <c r="F298" s="46">
        <f t="shared" ca="1" si="3"/>
        <v>3600</v>
      </c>
    </row>
    <row r="299" spans="1:6" ht="45">
      <c r="A299" s="42" t="s">
        <v>96</v>
      </c>
      <c r="B299" s="43" t="str">
        <f ca="1">IFERROR(INDEX(UNSPSCDes,MATCH(INDIRECT(ADDRESS(ROW(),COLUMN()-1,4)),UNSPSCCode,0)),IF(INDIRECT(ADDRESS(ROW(),COLUMN()-1,4))="14111526","Papel libretas o libros de mensajes telefónicos",""))</f>
        <v>Papel libretas o libros de mensajes telefónicos</v>
      </c>
      <c r="C299" s="44" t="str">
        <f>IFERROR(VLOOKUP("UD",'[1]Informacion '!P:Q,2,FALSE),"")</f>
        <v>Unidad</v>
      </c>
      <c r="D299" s="42">
        <v>20</v>
      </c>
      <c r="E299" s="45">
        <v>364</v>
      </c>
      <c r="F299" s="46">
        <f t="shared" ca="1" si="3"/>
        <v>7280</v>
      </c>
    </row>
    <row r="300" spans="1:6" ht="45">
      <c r="A300" s="42" t="s">
        <v>96</v>
      </c>
      <c r="B300" s="43" t="str">
        <f ca="1">IFERROR(INDEX(UNSPSCDes,MATCH(INDIRECT(ADDRESS(ROW(),COLUMN()-1,4)),UNSPSCCode,0)),IF(INDIRECT(ADDRESS(ROW(),COLUMN()-1,4))="14111526","Papel libretas o libros de mensajes telefónicos",""))</f>
        <v>Papel libretas o libros de mensajes telefónicos</v>
      </c>
      <c r="C300" s="44" t="str">
        <f>IFERROR(VLOOKUP("UD",'[1]Informacion '!P:Q,2,FALSE),"")</f>
        <v>Unidad</v>
      </c>
      <c r="D300" s="42">
        <v>24</v>
      </c>
      <c r="E300" s="45">
        <v>30</v>
      </c>
      <c r="F300" s="46">
        <f t="shared" ca="1" si="3"/>
        <v>720</v>
      </c>
    </row>
    <row r="301" spans="1:6" ht="22.5">
      <c r="A301" s="42" t="s">
        <v>100</v>
      </c>
      <c r="B301" s="43" t="str">
        <f ca="1">IFERROR(INDEX(UNSPSCDes,MATCH(INDIRECT(ADDRESS(ROW(),COLUMN()-1,4)),UNSPSCCode,0)),IF(INDIRECT(ADDRESS(ROW(),COLUMN()-1,4))="60121526","Bolígrafos para caligrafía",""))</f>
        <v>Bolígrafos para caligrafía</v>
      </c>
      <c r="C301" s="44" t="str">
        <f>IFERROR(VLOOKUP("UD",'[1]Informacion '!P:Q,2,FALSE),"")</f>
        <v>Unidad</v>
      </c>
      <c r="D301" s="42">
        <v>120</v>
      </c>
      <c r="E301" s="45">
        <v>6</v>
      </c>
      <c r="F301" s="46">
        <f t="shared" ca="1" si="3"/>
        <v>720</v>
      </c>
    </row>
    <row r="302" spans="1:6" ht="22.5">
      <c r="A302" s="42" t="s">
        <v>100</v>
      </c>
      <c r="B302" s="43" t="str">
        <f ca="1">IFERROR(INDEX(UNSPSCDes,MATCH(INDIRECT(ADDRESS(ROW(),COLUMN()-1,4)),UNSPSCCode,0)),IF(INDIRECT(ADDRESS(ROW(),COLUMN()-1,4))="60121526","Bolígrafos para caligrafía",""))</f>
        <v>Bolígrafos para caligrafía</v>
      </c>
      <c r="C302" s="44" t="str">
        <f>IFERROR(VLOOKUP("UD",'[1]Informacion '!P:Q,2,FALSE),"")</f>
        <v>Unidad</v>
      </c>
      <c r="D302" s="42">
        <v>120</v>
      </c>
      <c r="E302" s="45">
        <v>6</v>
      </c>
      <c r="F302" s="46">
        <f t="shared" ca="1" si="3"/>
        <v>720</v>
      </c>
    </row>
    <row r="303" spans="1:6" ht="22.5">
      <c r="A303" s="42" t="s">
        <v>100</v>
      </c>
      <c r="B303" s="43" t="str">
        <f ca="1">IFERROR(INDEX(UNSPSCDes,MATCH(INDIRECT(ADDRESS(ROW(),COLUMN()-1,4)),UNSPSCCode,0)),IF(INDIRECT(ADDRESS(ROW(),COLUMN()-1,4))="60121526","Bolígrafos para caligrafía",""))</f>
        <v>Bolígrafos para caligrafía</v>
      </c>
      <c r="C303" s="44" t="str">
        <f>IFERROR(VLOOKUP("UD",'[1]Informacion '!P:Q,2,FALSE),"")</f>
        <v>Unidad</v>
      </c>
      <c r="D303" s="42">
        <v>120</v>
      </c>
      <c r="E303" s="45">
        <v>6</v>
      </c>
      <c r="F303" s="46">
        <f t="shared" ca="1" si="3"/>
        <v>720</v>
      </c>
    </row>
    <row r="304" spans="1:6" ht="22.5">
      <c r="A304" s="42" t="s">
        <v>101</v>
      </c>
      <c r="B304" s="43" t="str">
        <f ca="1">IFERROR(INDEX(UNSPSCDes,MATCH(INDIRECT(ADDRESS(ROW(),COLUMN()-1,4)),UNSPSCCode,0)),IF(INDIRECT(ADDRESS(ROW(),COLUMN()-1,4))="44121627","Marcadores de libros",""))</f>
        <v>Marcadores de libros</v>
      </c>
      <c r="C304" s="44" t="str">
        <f>IFERROR(VLOOKUP("UD",'[1]Informacion '!P:Q,2,FALSE),"")</f>
        <v>Unidad</v>
      </c>
      <c r="D304" s="42">
        <v>12</v>
      </c>
      <c r="E304" s="45">
        <v>18</v>
      </c>
      <c r="F304" s="46">
        <f t="shared" ca="1" si="3"/>
        <v>216</v>
      </c>
    </row>
    <row r="305" spans="1:6" ht="33.75">
      <c r="A305" s="42" t="s">
        <v>102</v>
      </c>
      <c r="B305" s="43" t="str">
        <f ca="1">IFERROR(INDEX(UNSPSCDes,MATCH(INDIRECT(ADDRESS(ROW(),COLUMN()-1,4)),UNSPSCCode,0)),IF(INDIRECT(ADDRESS(ROW(),COLUMN()-1,4))="43201808","Disco compacto cd de sólo lectura",""))</f>
        <v>Disco compacto cd de sólo lectura</v>
      </c>
      <c r="C305" s="44" t="str">
        <f>IFERROR(VLOOKUP("UD",'[1]Informacion '!P:Q,2,FALSE),"")</f>
        <v>Unidad</v>
      </c>
      <c r="D305" s="42">
        <v>100</v>
      </c>
      <c r="E305" s="45">
        <v>8</v>
      </c>
      <c r="F305" s="46">
        <f t="shared" ca="1" si="3"/>
        <v>800</v>
      </c>
    </row>
    <row r="306" spans="1:6">
      <c r="A306" s="42" t="s">
        <v>103</v>
      </c>
      <c r="B306" s="43" t="str">
        <f ca="1">IFERROR(INDEX(UNSPSCDes,MATCH(INDIRECT(ADDRESS(ROW(),COLUMN()-1,4)),UNSPSCCode,0)),IF(INDIRECT(ADDRESS(ROW(),COLUMN()-1,4))="44121716","Resaltadores",""))</f>
        <v>Resaltadores</v>
      </c>
      <c r="C306" s="44" t="str">
        <f>IFERROR(VLOOKUP("UD",'[1]Informacion '!P:Q,2,FALSE),"")</f>
        <v>Unidad</v>
      </c>
      <c r="D306" s="42">
        <v>12</v>
      </c>
      <c r="E306" s="45">
        <v>18</v>
      </c>
      <c r="F306" s="46">
        <f t="shared" ca="1" si="3"/>
        <v>216</v>
      </c>
    </row>
    <row r="307" spans="1:6">
      <c r="A307" s="42" t="s">
        <v>103</v>
      </c>
      <c r="B307" s="43" t="str">
        <f ca="1">IFERROR(INDEX(UNSPSCDes,MATCH(INDIRECT(ADDRESS(ROW(),COLUMN()-1,4)),UNSPSCCode,0)),IF(INDIRECT(ADDRESS(ROW(),COLUMN()-1,4))="44121716","Resaltadores",""))</f>
        <v>Resaltadores</v>
      </c>
      <c r="C307" s="44" t="str">
        <f>IFERROR(VLOOKUP("UD",'[1]Informacion '!P:Q,2,FALSE),"")</f>
        <v>Unidad</v>
      </c>
      <c r="D307" s="42">
        <v>12</v>
      </c>
      <c r="E307" s="45">
        <v>18</v>
      </c>
      <c r="F307" s="46">
        <f t="shared" ca="1" si="3"/>
        <v>216</v>
      </c>
    </row>
    <row r="308" spans="1:6">
      <c r="A308" s="42" t="s">
        <v>103</v>
      </c>
      <c r="B308" s="43" t="str">
        <f ca="1">IFERROR(INDEX(UNSPSCDes,MATCH(INDIRECT(ADDRESS(ROW(),COLUMN()-1,4)),UNSPSCCode,0)),IF(INDIRECT(ADDRESS(ROW(),COLUMN()-1,4))="44121716","Resaltadores",""))</f>
        <v>Resaltadores</v>
      </c>
      <c r="C308" s="44" t="str">
        <f>IFERROR(VLOOKUP("UD",'[1]Informacion '!P:Q,2,FALSE),"")</f>
        <v>Unidad</v>
      </c>
      <c r="D308" s="42">
        <v>57</v>
      </c>
      <c r="E308" s="45">
        <v>18</v>
      </c>
      <c r="F308" s="46">
        <f t="shared" ca="1" si="3"/>
        <v>1026</v>
      </c>
    </row>
    <row r="309" spans="1:6" ht="22.5">
      <c r="A309" s="42" t="s">
        <v>98</v>
      </c>
      <c r="B309" s="43" t="str">
        <f ca="1">IFERROR(INDEX(UNSPSCDes,MATCH(INDIRECT(ADDRESS(ROW(),COLUMN()-1,4)),UNSPSCCode,0)),IF(INDIRECT(ADDRESS(ROW(),COLUMN()-1,4))="14111530","Papel de notas autoadhesivas",""))</f>
        <v>Papel de notas autoadhesivas</v>
      </c>
      <c r="C309" s="44" t="str">
        <f>IFERROR(VLOOKUP("UD",'[1]Informacion '!P:Q,2,FALSE),"")</f>
        <v>Unidad</v>
      </c>
      <c r="D309" s="42">
        <v>2</v>
      </c>
      <c r="E309" s="45">
        <v>3000</v>
      </c>
      <c r="F309" s="46">
        <f t="shared" ca="1" si="3"/>
        <v>6000</v>
      </c>
    </row>
    <row r="310" spans="1:6" ht="22.5">
      <c r="A310" s="42" t="s">
        <v>98</v>
      </c>
      <c r="B310" s="43" t="str">
        <f ca="1">IFERROR(INDEX(UNSPSCDes,MATCH(INDIRECT(ADDRESS(ROW(),COLUMN()-1,4)),UNSPSCCode,0)),IF(INDIRECT(ADDRESS(ROW(),COLUMN()-1,4))="14111530","Papel de notas autoadhesivas",""))</f>
        <v>Papel de notas autoadhesivas</v>
      </c>
      <c r="C310" s="44" t="str">
        <f>IFERROR(VLOOKUP("UD",'[1]Informacion '!P:Q,2,FALSE),"")</f>
        <v>Unidad</v>
      </c>
      <c r="D310" s="42">
        <v>12</v>
      </c>
      <c r="E310" s="45">
        <v>127</v>
      </c>
      <c r="F310" s="46">
        <f t="shared" ca="1" si="3"/>
        <v>1524</v>
      </c>
    </row>
    <row r="311" spans="1:6" ht="33.75">
      <c r="A311" s="42" t="s">
        <v>102</v>
      </c>
      <c r="B311" s="43" t="str">
        <f ca="1">IFERROR(INDEX(UNSPSCDes,MATCH(INDIRECT(ADDRESS(ROW(),COLUMN()-1,4)),UNSPSCCode,0)),IF(INDIRECT(ADDRESS(ROW(),COLUMN()-1,4))="43201808","Disco compacto cd de sólo lectura",""))</f>
        <v>Disco compacto cd de sólo lectura</v>
      </c>
      <c r="C311" s="44" t="str">
        <f>IFERROR(VLOOKUP("UD",'[1]Informacion '!P:Q,2,FALSE),"")</f>
        <v>Unidad</v>
      </c>
      <c r="D311" s="42">
        <v>2</v>
      </c>
      <c r="E311" s="45">
        <v>630</v>
      </c>
      <c r="F311" s="46">
        <f t="shared" ca="1" si="3"/>
        <v>1260</v>
      </c>
    </row>
    <row r="312" spans="1:6">
      <c r="A312" s="42" t="s">
        <v>104</v>
      </c>
      <c r="B312" s="43" t="str">
        <f ca="1">IFERROR(INDEX(UNSPSCDes,MATCH(INDIRECT(ADDRESS(ROW(),COLUMN()-1,4)),UNSPSCCode,0)),IF(INDIRECT(ADDRESS(ROW(),COLUMN()-1,4))="44122011","Folders",""))</f>
        <v>Folders</v>
      </c>
      <c r="C312" s="44" t="str">
        <f>IFERROR(VLOOKUP("UD",'[1]Informacion '!P:Q,2,FALSE),"")</f>
        <v>Unidad</v>
      </c>
      <c r="D312" s="42">
        <v>2</v>
      </c>
      <c r="E312" s="45">
        <v>630</v>
      </c>
      <c r="F312" s="46">
        <f t="shared" ca="1" si="3"/>
        <v>1260</v>
      </c>
    </row>
    <row r="313" spans="1:6">
      <c r="A313" s="42" t="s">
        <v>97</v>
      </c>
      <c r="B313" s="43" t="str">
        <f ca="1">IFERROR(INDEX(UNSPSCDes,MATCH(INDIRECT(ADDRESS(ROW(),COLUMN()-1,4)),UNSPSCCode,0)),IF(INDIRECT(ADDRESS(ROW(),COLUMN()-1,4))="44122003","Carpetas",""))</f>
        <v>Carpetas</v>
      </c>
      <c r="C313" s="44" t="str">
        <f>IFERROR(VLOOKUP("UD",'[1]Informacion '!P:Q,2,FALSE),"")</f>
        <v>Unidad</v>
      </c>
      <c r="D313" s="42">
        <v>12</v>
      </c>
      <c r="E313" s="45">
        <v>750</v>
      </c>
      <c r="F313" s="46">
        <f t="shared" ca="1" si="3"/>
        <v>9000</v>
      </c>
    </row>
    <row r="314" spans="1:6">
      <c r="A314" s="42" t="s">
        <v>97</v>
      </c>
      <c r="B314" s="43" t="str">
        <f ca="1">IFERROR(INDEX(UNSPSCDes,MATCH(INDIRECT(ADDRESS(ROW(),COLUMN()-1,4)),UNSPSCCode,0)),IF(INDIRECT(ADDRESS(ROW(),COLUMN()-1,4))="44122003","Carpetas",""))</f>
        <v>Carpetas</v>
      </c>
      <c r="C314" s="44" t="str">
        <f>IFERROR(VLOOKUP("UD",'[1]Informacion '!P:Q,2,FALSE),"")</f>
        <v>Unidad</v>
      </c>
      <c r="D314" s="42">
        <v>10</v>
      </c>
      <c r="E314" s="45">
        <v>274</v>
      </c>
      <c r="F314" s="46">
        <f t="shared" ca="1" si="3"/>
        <v>2740</v>
      </c>
    </row>
    <row r="315" spans="1:6">
      <c r="A315" s="42" t="s">
        <v>105</v>
      </c>
      <c r="B315" s="43" t="str">
        <f ca="1">IFERROR(INDEX(UNSPSCDes,MATCH(INDIRECT(ADDRESS(ROW(),COLUMN()-1,4)),UNSPSCCode,0)),IF(INDIRECT(ADDRESS(ROW(),COLUMN()-1,4))="44121503","Sobres",""))</f>
        <v>Sobres</v>
      </c>
      <c r="C315" s="44" t="str">
        <f>IFERROR(VLOOKUP("CAJ",'[1]Informacion '!P:Q,2,FALSE),"")</f>
        <v>Caja</v>
      </c>
      <c r="D315" s="42">
        <v>3</v>
      </c>
      <c r="E315" s="45">
        <v>2065</v>
      </c>
      <c r="F315" s="46">
        <f t="shared" ca="1" si="3"/>
        <v>6195</v>
      </c>
    </row>
    <row r="316" spans="1:6">
      <c r="A316" s="42" t="s">
        <v>105</v>
      </c>
      <c r="B316" s="43" t="str">
        <f ca="1">IFERROR(INDEX(UNSPSCDes,MATCH(INDIRECT(ADDRESS(ROW(),COLUMN()-1,4)),UNSPSCCode,0)),IF(INDIRECT(ADDRESS(ROW(),COLUMN()-1,4))="44121503","Sobres",""))</f>
        <v>Sobres</v>
      </c>
      <c r="C316" s="44" t="str">
        <f>IFERROR(VLOOKUP("UD",'[1]Informacion '!P:Q,2,FALSE),"")</f>
        <v>Unidad</v>
      </c>
      <c r="D316" s="42">
        <v>500</v>
      </c>
      <c r="E316" s="45">
        <v>5</v>
      </c>
      <c r="F316" s="46">
        <f t="shared" ca="1" si="3"/>
        <v>2500</v>
      </c>
    </row>
    <row r="317" spans="1:6">
      <c r="A317" s="42" t="s">
        <v>104</v>
      </c>
      <c r="B317" s="43" t="str">
        <f ca="1">IFERROR(INDEX(UNSPSCDes,MATCH(INDIRECT(ADDRESS(ROW(),COLUMN()-1,4)),UNSPSCCode,0)),IF(INDIRECT(ADDRESS(ROW(),COLUMN()-1,4))="44122011","Folders",""))</f>
        <v>Folders</v>
      </c>
      <c r="C317" s="44" t="str">
        <f>IFERROR(VLOOKUP("UD",'[1]Informacion '!P:Q,2,FALSE),"")</f>
        <v>Unidad</v>
      </c>
      <c r="D317" s="42">
        <v>1000</v>
      </c>
      <c r="E317" s="45">
        <v>5</v>
      </c>
      <c r="F317" s="46">
        <f t="shared" ca="1" si="3"/>
        <v>5000</v>
      </c>
    </row>
    <row r="318" spans="1:6">
      <c r="A318" s="42" t="s">
        <v>105</v>
      </c>
      <c r="B318" s="43" t="str">
        <f ca="1">IFERROR(INDEX(UNSPSCDes,MATCH(INDIRECT(ADDRESS(ROW(),COLUMN()-1,4)),UNSPSCCode,0)),IF(INDIRECT(ADDRESS(ROW(),COLUMN()-1,4))="44121503","Sobres",""))</f>
        <v>Sobres</v>
      </c>
      <c r="C318" s="44" t="str">
        <f>IFERROR(VLOOKUP("UD",'[1]Informacion '!P:Q,2,FALSE),"")</f>
        <v>Unidad</v>
      </c>
      <c r="D318" s="42">
        <v>500</v>
      </c>
      <c r="E318" s="45">
        <v>5</v>
      </c>
      <c r="F318" s="46">
        <f t="shared" ca="1" si="3"/>
        <v>2500</v>
      </c>
    </row>
    <row r="319" spans="1:6" ht="16.5">
      <c r="A319" s="36"/>
      <c r="B319" s="36"/>
      <c r="C319" s="36"/>
      <c r="D319" s="36"/>
      <c r="E319" s="47" t="s">
        <v>50</v>
      </c>
      <c r="F319" s="48">
        <f ca="1">SUM(Table24[MONTO TOTAL ESTIMADO])</f>
        <v>77761</v>
      </c>
    </row>
    <row r="320" spans="1:6" ht="17.25" thickBot="1">
      <c r="A320" s="36"/>
      <c r="B320" s="36"/>
      <c r="C320" s="36"/>
      <c r="D320" s="36"/>
      <c r="E320" s="36"/>
      <c r="F320" s="36"/>
    </row>
    <row r="321" spans="1:6" ht="34.5" thickBot="1">
      <c r="A321" s="1" t="s">
        <v>0</v>
      </c>
      <c r="B321" s="1" t="s">
        <v>1</v>
      </c>
      <c r="C321" s="1" t="s">
        <v>2</v>
      </c>
      <c r="D321" s="1" t="s">
        <v>3</v>
      </c>
      <c r="E321" s="1" t="s">
        <v>4</v>
      </c>
      <c r="F321" s="1" t="s">
        <v>5</v>
      </c>
    </row>
    <row r="322" spans="1:6" ht="15.75" thickBot="1">
      <c r="A322" s="2" t="s">
        <v>106</v>
      </c>
      <c r="B322" s="2" t="s">
        <v>107</v>
      </c>
      <c r="C322" s="2" t="s">
        <v>40</v>
      </c>
      <c r="D322" s="2" t="s">
        <v>62</v>
      </c>
      <c r="E322" s="2" t="s">
        <v>42</v>
      </c>
      <c r="F322" s="2"/>
    </row>
    <row r="323" spans="1:6" ht="15.75" thickBot="1">
      <c r="A323" s="3" t="s">
        <v>11</v>
      </c>
      <c r="B323" s="4" t="s">
        <v>12</v>
      </c>
      <c r="C323" s="37">
        <v>43200</v>
      </c>
      <c r="D323" s="3" t="s">
        <v>13</v>
      </c>
      <c r="E323" s="38" t="s">
        <v>14</v>
      </c>
      <c r="F323" s="39"/>
    </row>
    <row r="324" spans="1:6" ht="15.75" thickBot="1">
      <c r="A324" s="6"/>
      <c r="B324" s="4" t="s">
        <v>15</v>
      </c>
      <c r="C324" s="40">
        <f>IF(C323="","",IF(AND(MONTH(C323)&gt;=1,MONTH(C323)&lt;=3),1,IF(AND(MONTH(C323)&gt;=4,MONTH(C323)&lt;=6),2,IF(AND(MONTH(C323)&gt;=7,MONTH(C323)&lt;=9),3,4))))</f>
        <v>2</v>
      </c>
      <c r="D324" s="6"/>
      <c r="E324" s="38" t="s">
        <v>16</v>
      </c>
      <c r="F324" s="39"/>
    </row>
    <row r="325" spans="1:6" ht="15.75" thickBot="1">
      <c r="A325" s="6"/>
      <c r="B325" s="4" t="s">
        <v>17</v>
      </c>
      <c r="C325" s="37">
        <v>43201</v>
      </c>
      <c r="D325" s="6"/>
      <c r="E325" s="38" t="s">
        <v>18</v>
      </c>
      <c r="F325" s="39"/>
    </row>
    <row r="326" spans="1:6" ht="15.75" thickBot="1">
      <c r="A326" s="6"/>
      <c r="B326" s="4" t="s">
        <v>15</v>
      </c>
      <c r="C326" s="40">
        <f>IF(C325="","",IF(AND(MONTH(C325)&gt;=1,MONTH(C325)&lt;=3),1,IF(AND(MONTH(C325)&gt;=4,MONTH(C325)&lt;=6),2,IF(AND(MONTH(C325)&gt;=7,MONTH(C325)&lt;=9),3,4))))</f>
        <v>2</v>
      </c>
      <c r="D326" s="6"/>
      <c r="E326" s="38" t="s">
        <v>19</v>
      </c>
      <c r="F326" s="39"/>
    </row>
    <row r="327" spans="1:6" ht="17.25" thickBot="1">
      <c r="A327" s="36"/>
      <c r="B327" s="36"/>
      <c r="C327" s="36"/>
      <c r="D327" s="36"/>
      <c r="E327" s="36"/>
      <c r="F327" s="36"/>
    </row>
    <row r="328" spans="1:6" ht="15.75" thickBot="1">
      <c r="A328" s="41" t="s">
        <v>43</v>
      </c>
      <c r="B328" s="41" t="s">
        <v>44</v>
      </c>
      <c r="C328" s="41" t="s">
        <v>45</v>
      </c>
      <c r="D328" s="41" t="s">
        <v>46</v>
      </c>
      <c r="E328" s="41" t="s">
        <v>47</v>
      </c>
      <c r="F328" s="41" t="s">
        <v>48</v>
      </c>
    </row>
    <row r="329" spans="1:6" ht="45">
      <c r="A329" s="42" t="s">
        <v>108</v>
      </c>
      <c r="B329" s="43" t="str">
        <f ca="1">IFERROR(INDEX(UNSPSCDes,MATCH(INDIRECT(ADDRESS(ROW(),COLUMN()-1,4)),UNSPSCCode,0)),IF(INDIRECT(ADDRESS(ROW(),COLUMN()-1,4))="52141502","Hornos microondas para uso doméstico",""))</f>
        <v>Hornos microondas para uso doméstico</v>
      </c>
      <c r="C329" s="44" t="str">
        <f>IFERROR(VLOOKUP("UD",'[1]Informacion '!P:Q,2,FALSE),"")</f>
        <v>Unidad</v>
      </c>
      <c r="D329" s="42">
        <v>2</v>
      </c>
      <c r="E329" s="45">
        <v>22000</v>
      </c>
      <c r="F329" s="46">
        <f ca="1">INDIRECT(ADDRESS(ROW(),COLUMN()-2,4))*INDIRECT(ADDRESS(ROW(),COLUMN()-1,4))</f>
        <v>44000</v>
      </c>
    </row>
    <row r="330" spans="1:6" ht="16.5">
      <c r="A330" s="36"/>
      <c r="B330" s="36"/>
      <c r="C330" s="36"/>
      <c r="D330" s="36"/>
      <c r="E330" s="47" t="s">
        <v>50</v>
      </c>
      <c r="F330" s="48">
        <f ca="1">SUM(Table25[MONTO TOTAL ESTIMADO])</f>
        <v>44000</v>
      </c>
    </row>
    <row r="331" spans="1:6" ht="17.25" thickBot="1">
      <c r="A331" s="36"/>
      <c r="B331" s="36"/>
      <c r="C331" s="36"/>
      <c r="D331" s="36"/>
      <c r="E331" s="36"/>
      <c r="F331" s="36"/>
    </row>
    <row r="332" spans="1:6" ht="34.5" thickBot="1">
      <c r="A332" s="1" t="s">
        <v>0</v>
      </c>
      <c r="B332" s="1" t="s">
        <v>1</v>
      </c>
      <c r="C332" s="1" t="s">
        <v>2</v>
      </c>
      <c r="D332" s="1" t="s">
        <v>3</v>
      </c>
      <c r="E332" s="1" t="s">
        <v>4</v>
      </c>
      <c r="F332" s="1" t="s">
        <v>5</v>
      </c>
    </row>
    <row r="333" spans="1:6" ht="15.75" thickBot="1">
      <c r="A333" s="2" t="s">
        <v>109</v>
      </c>
      <c r="B333" s="2" t="s">
        <v>110</v>
      </c>
      <c r="C333" s="2" t="s">
        <v>8</v>
      </c>
      <c r="D333" s="2" t="s">
        <v>53</v>
      </c>
      <c r="E333" s="2" t="s">
        <v>42</v>
      </c>
      <c r="F333" s="2"/>
    </row>
    <row r="334" spans="1:6" ht="15.75" thickBot="1">
      <c r="A334" s="3" t="s">
        <v>11</v>
      </c>
      <c r="B334" s="4" t="s">
        <v>12</v>
      </c>
      <c r="C334" s="37">
        <v>43223</v>
      </c>
      <c r="D334" s="3" t="s">
        <v>13</v>
      </c>
      <c r="E334" s="38" t="s">
        <v>14</v>
      </c>
      <c r="F334" s="39"/>
    </row>
    <row r="335" spans="1:6" ht="15.75" thickBot="1">
      <c r="A335" s="6"/>
      <c r="B335" s="4" t="s">
        <v>15</v>
      </c>
      <c r="C335" s="40">
        <f>IF(C334="","",IF(AND(MONTH(C334)&gt;=1,MONTH(C334)&lt;=3),1,IF(AND(MONTH(C334)&gt;=4,MONTH(C334)&lt;=6),2,IF(AND(MONTH(C334)&gt;=7,MONTH(C334)&lt;=9),3,4))))</f>
        <v>2</v>
      </c>
      <c r="D335" s="6"/>
      <c r="E335" s="38" t="s">
        <v>16</v>
      </c>
      <c r="F335" s="39"/>
    </row>
    <row r="336" spans="1:6" ht="15.75" thickBot="1">
      <c r="A336" s="6"/>
      <c r="B336" s="4" t="s">
        <v>17</v>
      </c>
      <c r="C336" s="37">
        <v>43224</v>
      </c>
      <c r="D336" s="6"/>
      <c r="E336" s="38" t="s">
        <v>18</v>
      </c>
      <c r="F336" s="39"/>
    </row>
    <row r="337" spans="1:6" ht="15.75" thickBot="1">
      <c r="A337" s="6"/>
      <c r="B337" s="4" t="s">
        <v>15</v>
      </c>
      <c r="C337" s="40">
        <f>IF(C336="","",IF(AND(MONTH(C336)&gt;=1,MONTH(C336)&lt;=3),1,IF(AND(MONTH(C336)&gt;=4,MONTH(C336)&lt;=6),2,IF(AND(MONTH(C336)&gt;=7,MONTH(C336)&lt;=9),3,4))))</f>
        <v>2</v>
      </c>
      <c r="D337" s="6"/>
      <c r="E337" s="38" t="s">
        <v>19</v>
      </c>
      <c r="F337" s="39"/>
    </row>
    <row r="338" spans="1:6" ht="17.25" thickBot="1">
      <c r="A338" s="36"/>
      <c r="B338" s="36"/>
      <c r="C338" s="36"/>
      <c r="D338" s="36"/>
      <c r="E338" s="36"/>
      <c r="F338" s="36"/>
    </row>
    <row r="339" spans="1:6" ht="15.75" thickBot="1">
      <c r="A339" s="41" t="s">
        <v>43</v>
      </c>
      <c r="B339" s="41" t="s">
        <v>44</v>
      </c>
      <c r="C339" s="41" t="s">
        <v>45</v>
      </c>
      <c r="D339" s="41" t="s">
        <v>46</v>
      </c>
      <c r="E339" s="41" t="s">
        <v>47</v>
      </c>
      <c r="F339" s="41" t="s">
        <v>48</v>
      </c>
    </row>
    <row r="340" spans="1:6" ht="33.75">
      <c r="A340" s="42" t="s">
        <v>111</v>
      </c>
      <c r="B340" s="43" t="str">
        <f ca="1">IFERROR(INDEX(UNSPSCDes,MATCH(INDIRECT(ADDRESS(ROW(),COLUMN()-1,4)),UNSPSCCode,0)),IF(INDIRECT(ADDRESS(ROW(),COLUMN()-1,4))="40101701","Aires acondicionados",""))</f>
        <v>Aires acondicionados</v>
      </c>
      <c r="C340" s="44" t="str">
        <f>IFERROR(VLOOKUP("UD",'[1]Informacion '!P:Q,2,FALSE),"")</f>
        <v>Unidad</v>
      </c>
      <c r="D340" s="42">
        <v>15</v>
      </c>
      <c r="E340" s="45">
        <v>8000</v>
      </c>
      <c r="F340" s="46">
        <f ca="1">INDIRECT(ADDRESS(ROW(),COLUMN()-2,4))*INDIRECT(ADDRESS(ROW(),COLUMN()-1,4))</f>
        <v>120000</v>
      </c>
    </row>
    <row r="341" spans="1:6" ht="16.5">
      <c r="A341" s="36"/>
      <c r="B341" s="36"/>
      <c r="C341" s="36"/>
      <c r="D341" s="36"/>
      <c r="E341" s="47" t="s">
        <v>50</v>
      </c>
      <c r="F341" s="48">
        <f ca="1">SUM(Table26[MONTO TOTAL ESTIMADO])</f>
        <v>120000</v>
      </c>
    </row>
    <row r="342" spans="1:6" ht="17.25" thickBot="1">
      <c r="A342" s="36"/>
      <c r="B342" s="36"/>
      <c r="C342" s="36"/>
      <c r="D342" s="36"/>
      <c r="E342" s="36"/>
      <c r="F342" s="36"/>
    </row>
    <row r="343" spans="1:6" ht="34.5" thickBot="1">
      <c r="A343" s="1" t="s">
        <v>0</v>
      </c>
      <c r="B343" s="1" t="s">
        <v>1</v>
      </c>
      <c r="C343" s="1" t="s">
        <v>2</v>
      </c>
      <c r="D343" s="1" t="s">
        <v>3</v>
      </c>
      <c r="E343" s="1" t="s">
        <v>4</v>
      </c>
      <c r="F343" s="1" t="s">
        <v>5</v>
      </c>
    </row>
    <row r="344" spans="1:6" ht="15.75" thickBot="1">
      <c r="A344" s="2" t="s">
        <v>112</v>
      </c>
      <c r="B344" s="2" t="s">
        <v>113</v>
      </c>
      <c r="C344" s="2" t="s">
        <v>8</v>
      </c>
      <c r="D344" s="2" t="s">
        <v>62</v>
      </c>
      <c r="E344" s="2" t="s">
        <v>63</v>
      </c>
      <c r="F344" s="2"/>
    </row>
    <row r="345" spans="1:6" ht="15.75" thickBot="1">
      <c r="A345" s="3" t="s">
        <v>11</v>
      </c>
      <c r="B345" s="4" t="s">
        <v>12</v>
      </c>
      <c r="C345" s="37">
        <v>43201</v>
      </c>
      <c r="D345" s="3" t="s">
        <v>13</v>
      </c>
      <c r="E345" s="38" t="s">
        <v>14</v>
      </c>
      <c r="F345" s="39"/>
    </row>
    <row r="346" spans="1:6" ht="15.75" thickBot="1">
      <c r="A346" s="6"/>
      <c r="B346" s="4" t="s">
        <v>15</v>
      </c>
      <c r="C346" s="40">
        <f>IF(C345="","",IF(AND(MONTH(C345)&gt;=1,MONTH(C345)&lt;=3),1,IF(AND(MONTH(C345)&gt;=4,MONTH(C345)&lt;=6),2,IF(AND(MONTH(C345)&gt;=7,MONTH(C345)&lt;=9),3,4))))</f>
        <v>2</v>
      </c>
      <c r="D346" s="6"/>
      <c r="E346" s="38" t="s">
        <v>16</v>
      </c>
      <c r="F346" s="39"/>
    </row>
    <row r="347" spans="1:6" ht="15.75" thickBot="1">
      <c r="A347" s="6"/>
      <c r="B347" s="4" t="s">
        <v>17</v>
      </c>
      <c r="C347" s="37">
        <v>43202</v>
      </c>
      <c r="D347" s="6"/>
      <c r="E347" s="38" t="s">
        <v>18</v>
      </c>
      <c r="F347" s="39"/>
    </row>
    <row r="348" spans="1:6" ht="15.75" thickBot="1">
      <c r="A348" s="6"/>
      <c r="B348" s="4" t="s">
        <v>15</v>
      </c>
      <c r="C348" s="40">
        <f>IF(C347="","",IF(AND(MONTH(C347)&gt;=1,MONTH(C347)&lt;=3),1,IF(AND(MONTH(C347)&gt;=4,MONTH(C347)&lt;=6),2,IF(AND(MONTH(C347)&gt;=7,MONTH(C347)&lt;=9),3,4))))</f>
        <v>2</v>
      </c>
      <c r="D348" s="6"/>
      <c r="E348" s="38" t="s">
        <v>19</v>
      </c>
      <c r="F348" s="39"/>
    </row>
    <row r="349" spans="1:6" ht="17.25" thickBot="1">
      <c r="A349" s="36"/>
      <c r="B349" s="36"/>
      <c r="C349" s="36"/>
      <c r="D349" s="36"/>
      <c r="E349" s="36"/>
      <c r="F349" s="36"/>
    </row>
    <row r="350" spans="1:6" ht="15.75" thickBot="1">
      <c r="A350" s="41" t="s">
        <v>43</v>
      </c>
      <c r="B350" s="41" t="s">
        <v>44</v>
      </c>
      <c r="C350" s="41" t="s">
        <v>45</v>
      </c>
      <c r="D350" s="41" t="s">
        <v>46</v>
      </c>
      <c r="E350" s="41" t="s">
        <v>47</v>
      </c>
      <c r="F350" s="41" t="s">
        <v>48</v>
      </c>
    </row>
    <row r="351" spans="1:6" ht="22.5">
      <c r="A351" s="42" t="s">
        <v>114</v>
      </c>
      <c r="B351" s="43" t="str">
        <f ca="1">IFERROR(INDEX(UNSPSCDes,MATCH(INDIRECT(ADDRESS(ROW(),COLUMN()-1,4)),UNSPSCCode,0)),IF(INDIRECT(ADDRESS(ROW(),COLUMN()-1,4))="44101501","Fotocopiadoras",""))</f>
        <v>Fotocopiadoras</v>
      </c>
      <c r="C351" s="44" t="str">
        <f>IFERROR(VLOOKUP("UD",'[1]Informacion '!P:Q,2,FALSE),"")</f>
        <v>Unidad</v>
      </c>
      <c r="D351" s="42">
        <v>5</v>
      </c>
      <c r="E351" s="45">
        <v>13000</v>
      </c>
      <c r="F351" s="46">
        <f ca="1">INDIRECT(ADDRESS(ROW(),COLUMN()-2,4))*INDIRECT(ADDRESS(ROW(),COLUMN()-1,4))</f>
        <v>65000</v>
      </c>
    </row>
    <row r="352" spans="1:6" ht="16.5">
      <c r="A352" s="36"/>
      <c r="B352" s="36"/>
      <c r="C352" s="36"/>
      <c r="D352" s="36"/>
      <c r="E352" s="47" t="s">
        <v>50</v>
      </c>
      <c r="F352" s="48">
        <f ca="1">SUM(Table27[MONTO TOTAL ESTIMADO])</f>
        <v>65000</v>
      </c>
    </row>
    <row r="353" spans="1:6" ht="17.25" thickBot="1">
      <c r="A353" s="36"/>
      <c r="B353" s="36"/>
      <c r="C353" s="36"/>
      <c r="D353" s="36"/>
      <c r="E353" s="36"/>
      <c r="F353" s="36"/>
    </row>
    <row r="354" spans="1:6" ht="34.5" thickBot="1">
      <c r="A354" s="1" t="s">
        <v>0</v>
      </c>
      <c r="B354" s="1" t="s">
        <v>1</v>
      </c>
      <c r="C354" s="1" t="s">
        <v>2</v>
      </c>
      <c r="D354" s="1" t="s">
        <v>3</v>
      </c>
      <c r="E354" s="1" t="s">
        <v>4</v>
      </c>
      <c r="F354" s="1" t="s">
        <v>5</v>
      </c>
    </row>
    <row r="355" spans="1:6" ht="15.75" thickBot="1">
      <c r="A355" s="2" t="s">
        <v>115</v>
      </c>
      <c r="B355" s="2" t="s">
        <v>116</v>
      </c>
      <c r="C355" s="2" t="s">
        <v>8</v>
      </c>
      <c r="D355" s="2" t="s">
        <v>62</v>
      </c>
      <c r="E355" s="2" t="s">
        <v>42</v>
      </c>
      <c r="F355" s="2"/>
    </row>
    <row r="356" spans="1:6" ht="15.75" thickBot="1">
      <c r="A356" s="3" t="s">
        <v>11</v>
      </c>
      <c r="B356" s="4" t="s">
        <v>12</v>
      </c>
      <c r="C356" s="37">
        <v>43202</v>
      </c>
      <c r="D356" s="3" t="s">
        <v>13</v>
      </c>
      <c r="E356" s="38" t="s">
        <v>14</v>
      </c>
      <c r="F356" s="39"/>
    </row>
    <row r="357" spans="1:6" ht="15.75" thickBot="1">
      <c r="A357" s="6"/>
      <c r="B357" s="4" t="s">
        <v>15</v>
      </c>
      <c r="C357" s="40">
        <f>IF(C356="","",IF(AND(MONTH(C356)&gt;=1,MONTH(C356)&lt;=3),1,IF(AND(MONTH(C356)&gt;=4,MONTH(C356)&lt;=6),2,IF(AND(MONTH(C356)&gt;=7,MONTH(C356)&lt;=9),3,4))))</f>
        <v>2</v>
      </c>
      <c r="D357" s="6"/>
      <c r="E357" s="38" t="s">
        <v>16</v>
      </c>
      <c r="F357" s="39"/>
    </row>
    <row r="358" spans="1:6" ht="15.75" thickBot="1">
      <c r="A358" s="6"/>
      <c r="B358" s="4" t="s">
        <v>17</v>
      </c>
      <c r="C358" s="37">
        <v>43203</v>
      </c>
      <c r="D358" s="6"/>
      <c r="E358" s="38" t="s">
        <v>18</v>
      </c>
      <c r="F358" s="39"/>
    </row>
    <row r="359" spans="1:6" ht="15.75" thickBot="1">
      <c r="A359" s="6"/>
      <c r="B359" s="4" t="s">
        <v>15</v>
      </c>
      <c r="C359" s="40">
        <f>IF(C358="","",IF(AND(MONTH(C358)&gt;=1,MONTH(C358)&lt;=3),1,IF(AND(MONTH(C358)&gt;=4,MONTH(C358)&lt;=6),2,IF(AND(MONTH(C358)&gt;=7,MONTH(C358)&lt;=9),3,4))))</f>
        <v>2</v>
      </c>
      <c r="D359" s="6"/>
      <c r="E359" s="38" t="s">
        <v>19</v>
      </c>
      <c r="F359" s="39"/>
    </row>
    <row r="360" spans="1:6" ht="17.25" thickBot="1">
      <c r="A360" s="36"/>
      <c r="B360" s="36"/>
      <c r="C360" s="36"/>
      <c r="D360" s="36"/>
      <c r="E360" s="36"/>
      <c r="F360" s="36"/>
    </row>
    <row r="361" spans="1:6" ht="15.75" thickBot="1">
      <c r="A361" s="41" t="s">
        <v>43</v>
      </c>
      <c r="B361" s="41" t="s">
        <v>44</v>
      </c>
      <c r="C361" s="41" t="s">
        <v>45</v>
      </c>
      <c r="D361" s="41" t="s">
        <v>46</v>
      </c>
      <c r="E361" s="41" t="s">
        <v>47</v>
      </c>
      <c r="F361" s="41" t="s">
        <v>48</v>
      </c>
    </row>
    <row r="362" spans="1:6" ht="45">
      <c r="A362" s="42" t="s">
        <v>117</v>
      </c>
      <c r="B362" s="43" t="str">
        <f ca="1">IFERROR(INDEX(UNSPSCDes,MATCH(INDIRECT(ADDRESS(ROW(),COLUMN()-1,4)),UNSPSCCode,0)),IF(INDIRECT(ADDRESS(ROW(),COLUMN()-1,4))="83101804","Servicios de transmisión de energía eléctrica",""))</f>
        <v>Servicios de transmisión de energía eléctrica</v>
      </c>
      <c r="C362" s="44" t="str">
        <f>IFERROR(VLOOKUP("UD",'[1]Informacion '!P:Q,2,FALSE),"")</f>
        <v>Unidad</v>
      </c>
      <c r="D362" s="42">
        <v>1</v>
      </c>
      <c r="E362" s="45">
        <v>13000</v>
      </c>
      <c r="F362" s="46">
        <f ca="1">INDIRECT(ADDRESS(ROW(),COLUMN()-2,4))*INDIRECT(ADDRESS(ROW(),COLUMN()-1,4))</f>
        <v>13000</v>
      </c>
    </row>
    <row r="363" spans="1:6" ht="16.5">
      <c r="A363" s="36"/>
      <c r="B363" s="36"/>
      <c r="C363" s="36"/>
      <c r="D363" s="36"/>
      <c r="E363" s="47" t="s">
        <v>50</v>
      </c>
      <c r="F363" s="48">
        <f ca="1">SUM(Table28[MONTO TOTAL ESTIMADO])</f>
        <v>13000</v>
      </c>
    </row>
    <row r="364" spans="1:6" ht="17.25" thickBot="1">
      <c r="A364" s="36"/>
      <c r="B364" s="36"/>
      <c r="C364" s="36"/>
      <c r="D364" s="36"/>
      <c r="E364" s="36"/>
      <c r="F364" s="36"/>
    </row>
    <row r="365" spans="1:6" ht="34.5" thickBot="1">
      <c r="A365" s="1" t="s">
        <v>0</v>
      </c>
      <c r="B365" s="1" t="s">
        <v>1</v>
      </c>
      <c r="C365" s="1" t="s">
        <v>2</v>
      </c>
      <c r="D365" s="1" t="s">
        <v>3</v>
      </c>
      <c r="E365" s="1" t="s">
        <v>4</v>
      </c>
      <c r="F365" s="1" t="s">
        <v>5</v>
      </c>
    </row>
    <row r="366" spans="1:6" ht="15.75" thickBot="1">
      <c r="A366" s="2" t="s">
        <v>118</v>
      </c>
      <c r="B366" s="2" t="s">
        <v>118</v>
      </c>
      <c r="C366" s="2" t="s">
        <v>8</v>
      </c>
      <c r="D366" s="2" t="s">
        <v>62</v>
      </c>
      <c r="E366" s="2" t="s">
        <v>63</v>
      </c>
      <c r="F366" s="2"/>
    </row>
    <row r="367" spans="1:6" ht="15.75" thickBot="1">
      <c r="A367" s="3" t="s">
        <v>11</v>
      </c>
      <c r="B367" s="4" t="s">
        <v>12</v>
      </c>
      <c r="C367" s="37">
        <v>43257</v>
      </c>
      <c r="D367" s="3" t="s">
        <v>13</v>
      </c>
      <c r="E367" s="38" t="s">
        <v>14</v>
      </c>
      <c r="F367" s="39"/>
    </row>
    <row r="368" spans="1:6" ht="15.75" thickBot="1">
      <c r="A368" s="6"/>
      <c r="B368" s="4" t="s">
        <v>15</v>
      </c>
      <c r="C368" s="40">
        <f>IF(C367="","",IF(AND(MONTH(C367)&gt;=1,MONTH(C367)&lt;=3),1,IF(AND(MONTH(C367)&gt;=4,MONTH(C367)&lt;=6),2,IF(AND(MONTH(C367)&gt;=7,MONTH(C367)&lt;=9),3,4))))</f>
        <v>2</v>
      </c>
      <c r="D368" s="6"/>
      <c r="E368" s="38" t="s">
        <v>16</v>
      </c>
      <c r="F368" s="39"/>
    </row>
    <row r="369" spans="1:6" ht="15.75" thickBot="1">
      <c r="A369" s="6"/>
      <c r="B369" s="4" t="s">
        <v>17</v>
      </c>
      <c r="C369" s="37">
        <v>43258</v>
      </c>
      <c r="D369" s="6"/>
      <c r="E369" s="38" t="s">
        <v>18</v>
      </c>
      <c r="F369" s="39"/>
    </row>
    <row r="370" spans="1:6" ht="15.75" thickBot="1">
      <c r="A370" s="6"/>
      <c r="B370" s="4" t="s">
        <v>15</v>
      </c>
      <c r="C370" s="40">
        <f>IF(C369="","",IF(AND(MONTH(C369)&gt;=1,MONTH(C369)&lt;=3),1,IF(AND(MONTH(C369)&gt;=4,MONTH(C369)&lt;=6),2,IF(AND(MONTH(C369)&gt;=7,MONTH(C369)&lt;=9),3,4))))</f>
        <v>2</v>
      </c>
      <c r="D370" s="6"/>
      <c r="E370" s="38" t="s">
        <v>19</v>
      </c>
      <c r="F370" s="39"/>
    </row>
    <row r="371" spans="1:6" ht="17.25" thickBot="1">
      <c r="A371" s="36"/>
      <c r="B371" s="36"/>
      <c r="C371" s="36"/>
      <c r="D371" s="36"/>
      <c r="E371" s="36"/>
      <c r="F371" s="36"/>
    </row>
    <row r="372" spans="1:6" ht="15.75" thickBot="1">
      <c r="A372" s="41" t="s">
        <v>43</v>
      </c>
      <c r="B372" s="41" t="s">
        <v>44</v>
      </c>
      <c r="C372" s="41" t="s">
        <v>45</v>
      </c>
      <c r="D372" s="41" t="s">
        <v>46</v>
      </c>
      <c r="E372" s="41" t="s">
        <v>47</v>
      </c>
      <c r="F372" s="41" t="s">
        <v>48</v>
      </c>
    </row>
    <row r="373" spans="1:6" ht="33.75">
      <c r="A373" s="42" t="s">
        <v>119</v>
      </c>
      <c r="B373" s="43" t="str">
        <f ca="1">IFERROR(INDEX(UNSPSCDes,MATCH(INDIRECT(ADDRESS(ROW(),COLUMN()-1,4)),UNSPSCCode,0)),IF(INDIRECT(ADDRESS(ROW(),COLUMN()-1,4))="76101502","Servicios de limpieza de baños",""))</f>
        <v>Servicios de limpieza de baños</v>
      </c>
      <c r="C373" s="44" t="str">
        <f>IFERROR(VLOOKUP("UD",'[1]Informacion '!P:Q,2,FALSE),"")</f>
        <v>Unidad</v>
      </c>
      <c r="D373" s="42">
        <v>1</v>
      </c>
      <c r="E373" s="45">
        <v>89000</v>
      </c>
      <c r="F373" s="46">
        <f ca="1">INDIRECT(ADDRESS(ROW(),COLUMN()-2,4))*INDIRECT(ADDRESS(ROW(),COLUMN()-1,4))</f>
        <v>89000</v>
      </c>
    </row>
    <row r="374" spans="1:6" ht="16.5">
      <c r="A374" s="36"/>
      <c r="B374" s="36"/>
      <c r="C374" s="36"/>
      <c r="D374" s="36"/>
      <c r="E374" s="47" t="s">
        <v>50</v>
      </c>
      <c r="F374" s="48">
        <f ca="1">SUM(Table29[MONTO TOTAL ESTIMADO])</f>
        <v>89000</v>
      </c>
    </row>
    <row r="375" spans="1:6" ht="17.25" thickBot="1">
      <c r="A375" s="36"/>
      <c r="B375" s="36"/>
      <c r="C375" s="36"/>
      <c r="D375" s="36"/>
      <c r="E375" s="36"/>
      <c r="F375" s="36"/>
    </row>
    <row r="376" spans="1:6" ht="34.5" thickBot="1">
      <c r="A376" s="1" t="s">
        <v>0</v>
      </c>
      <c r="B376" s="1" t="s">
        <v>1</v>
      </c>
      <c r="C376" s="1" t="s">
        <v>2</v>
      </c>
      <c r="D376" s="1" t="s">
        <v>3</v>
      </c>
      <c r="E376" s="1" t="s">
        <v>4</v>
      </c>
      <c r="F376" s="1" t="s">
        <v>5</v>
      </c>
    </row>
    <row r="377" spans="1:6" ht="15.75" thickBot="1">
      <c r="A377" s="2" t="s">
        <v>120</v>
      </c>
      <c r="B377" s="2" t="s">
        <v>120</v>
      </c>
      <c r="C377" s="2" t="s">
        <v>40</v>
      </c>
      <c r="D377" s="2" t="s">
        <v>62</v>
      </c>
      <c r="E377" s="2" t="s">
        <v>63</v>
      </c>
      <c r="F377" s="2"/>
    </row>
    <row r="378" spans="1:6" ht="15.75" thickBot="1">
      <c r="A378" s="3" t="s">
        <v>11</v>
      </c>
      <c r="B378" s="4" t="s">
        <v>12</v>
      </c>
      <c r="C378" s="37">
        <v>43228</v>
      </c>
      <c r="D378" s="3" t="s">
        <v>13</v>
      </c>
      <c r="E378" s="38" t="s">
        <v>14</v>
      </c>
      <c r="F378" s="39"/>
    </row>
    <row r="379" spans="1:6" ht="15.75" thickBot="1">
      <c r="A379" s="6"/>
      <c r="B379" s="4" t="s">
        <v>15</v>
      </c>
      <c r="C379" s="40">
        <f>IF(C378="","",IF(AND(MONTH(C378)&gt;=1,MONTH(C378)&lt;=3),1,IF(AND(MONTH(C378)&gt;=4,MONTH(C378)&lt;=6),2,IF(AND(MONTH(C378)&gt;=7,MONTH(C378)&lt;=9),3,4))))</f>
        <v>2</v>
      </c>
      <c r="D379" s="6"/>
      <c r="E379" s="38" t="s">
        <v>16</v>
      </c>
      <c r="F379" s="39"/>
    </row>
    <row r="380" spans="1:6" ht="15.75" thickBot="1">
      <c r="A380" s="6"/>
      <c r="B380" s="4" t="s">
        <v>17</v>
      </c>
      <c r="C380" s="37">
        <v>43229</v>
      </c>
      <c r="D380" s="6"/>
      <c r="E380" s="38" t="s">
        <v>18</v>
      </c>
      <c r="F380" s="39"/>
    </row>
    <row r="381" spans="1:6" ht="15.75" thickBot="1">
      <c r="A381" s="6"/>
      <c r="B381" s="4" t="s">
        <v>15</v>
      </c>
      <c r="C381" s="40">
        <f>IF(C380="","",IF(AND(MONTH(C380)&gt;=1,MONTH(C380)&lt;=3),1,IF(AND(MONTH(C380)&gt;=4,MONTH(C380)&lt;=6),2,IF(AND(MONTH(C380)&gt;=7,MONTH(C380)&lt;=9),3,4))))</f>
        <v>2</v>
      </c>
      <c r="D381" s="6"/>
      <c r="E381" s="38" t="s">
        <v>19</v>
      </c>
      <c r="F381" s="39"/>
    </row>
    <row r="382" spans="1:6" ht="17.25" thickBot="1">
      <c r="A382" s="36"/>
      <c r="B382" s="36"/>
      <c r="C382" s="36"/>
      <c r="D382" s="36"/>
      <c r="E382" s="36"/>
      <c r="F382" s="36"/>
    </row>
    <row r="383" spans="1:6" ht="15.75" thickBot="1">
      <c r="A383" s="41" t="s">
        <v>43</v>
      </c>
      <c r="B383" s="41" t="s">
        <v>44</v>
      </c>
      <c r="C383" s="41" t="s">
        <v>45</v>
      </c>
      <c r="D383" s="41" t="s">
        <v>46</v>
      </c>
      <c r="E383" s="41" t="s">
        <v>47</v>
      </c>
      <c r="F383" s="41" t="s">
        <v>48</v>
      </c>
    </row>
    <row r="384" spans="1:6" ht="22.5">
      <c r="A384" s="42" t="s">
        <v>121</v>
      </c>
      <c r="B384" s="43" t="str">
        <f ca="1">IFERROR(INDEX(UNSPSCDes,MATCH(INDIRECT(ADDRESS(ROW(),COLUMN()-1,4)),UNSPSCCode,0)),IF(INDIRECT(ADDRESS(ROW(),COLUMN()-1,4))="39101701","Tubos fluorescentes",""))</f>
        <v>Tubos fluorescentes</v>
      </c>
      <c r="C384" s="44" t="str">
        <f>IFERROR(VLOOKUP("UD",'[1]Informacion '!P:Q,2,FALSE),"")</f>
        <v>Unidad</v>
      </c>
      <c r="D384" s="42">
        <v>50</v>
      </c>
      <c r="E384" s="45">
        <v>150</v>
      </c>
      <c r="F384" s="46">
        <f ca="1">INDIRECT(ADDRESS(ROW(),COLUMN()-2,4))*INDIRECT(ADDRESS(ROW(),COLUMN()-1,4))</f>
        <v>7500</v>
      </c>
    </row>
    <row r="385" spans="1:6" ht="22.5">
      <c r="A385" s="42" t="s">
        <v>121</v>
      </c>
      <c r="B385" s="43" t="str">
        <f ca="1">IFERROR(INDEX(UNSPSCDes,MATCH(INDIRECT(ADDRESS(ROW(),COLUMN()-1,4)),UNSPSCCode,0)),IF(INDIRECT(ADDRESS(ROW(),COLUMN()-1,4))="39101701","Tubos fluorescentes",""))</f>
        <v>Tubos fluorescentes</v>
      </c>
      <c r="C385" s="44" t="str">
        <f>IFERROR(VLOOKUP("UD",'[1]Informacion '!P:Q,2,FALSE),"")</f>
        <v>Unidad</v>
      </c>
      <c r="D385" s="42">
        <v>50</v>
      </c>
      <c r="E385" s="45">
        <v>145</v>
      </c>
      <c r="F385" s="46">
        <f ca="1">INDIRECT(ADDRESS(ROW(),COLUMN()-2,4))*INDIRECT(ADDRESS(ROW(),COLUMN()-1,4))</f>
        <v>7250</v>
      </c>
    </row>
    <row r="386" spans="1:6" ht="22.5">
      <c r="A386" s="42" t="s">
        <v>122</v>
      </c>
      <c r="B386" s="43" t="str">
        <f ca="1">IFERROR(INDEX(UNSPSCDes,MATCH(INDIRECT(ADDRESS(ROW(),COLUMN()-1,4)),UNSPSCCode,0)),IF(INDIRECT(ADDRESS(ROW(),COLUMN()-1,4))="31211502","Pinturas de agua",""))</f>
        <v>Pinturas de agua</v>
      </c>
      <c r="C386" s="44" t="str">
        <f>IFERROR(VLOOKUP("UD",'[1]Informacion '!P:Q,2,FALSE),"")</f>
        <v>Unidad</v>
      </c>
      <c r="D386" s="42">
        <v>5</v>
      </c>
      <c r="E386" s="45">
        <v>5000</v>
      </c>
      <c r="F386" s="46">
        <f ca="1">INDIRECT(ADDRESS(ROW(),COLUMN()-2,4))*INDIRECT(ADDRESS(ROW(),COLUMN()-1,4))</f>
        <v>25000</v>
      </c>
    </row>
    <row r="387" spans="1:6" ht="22.5">
      <c r="A387" s="42" t="s">
        <v>121</v>
      </c>
      <c r="B387" s="43" t="str">
        <f ca="1">IFERROR(INDEX(UNSPSCDes,MATCH(INDIRECT(ADDRESS(ROW(),COLUMN()-1,4)),UNSPSCCode,0)),IF(INDIRECT(ADDRESS(ROW(),COLUMN()-1,4))="39101701","Tubos fluorescentes",""))</f>
        <v>Tubos fluorescentes</v>
      </c>
      <c r="C387" s="44" t="str">
        <f>IFERROR(VLOOKUP("UD",'[1]Informacion '!P:Q,2,FALSE),"")</f>
        <v>Unidad</v>
      </c>
      <c r="D387" s="42">
        <v>2</v>
      </c>
      <c r="E387" s="45">
        <v>2700</v>
      </c>
      <c r="F387" s="46">
        <f ca="1">INDIRECT(ADDRESS(ROW(),COLUMN()-2,4))*INDIRECT(ADDRESS(ROW(),COLUMN()-1,4))</f>
        <v>5400</v>
      </c>
    </row>
    <row r="388" spans="1:6" ht="16.5">
      <c r="A388" s="36"/>
      <c r="B388" s="36"/>
      <c r="C388" s="36"/>
      <c r="D388" s="36"/>
      <c r="E388" s="47" t="s">
        <v>50</v>
      </c>
      <c r="F388" s="48">
        <f ca="1">SUM(Table30[MONTO TOTAL ESTIMADO])</f>
        <v>45150</v>
      </c>
    </row>
    <row r="389" spans="1:6" ht="17.25" thickBot="1">
      <c r="A389" s="36"/>
      <c r="B389" s="36"/>
      <c r="C389" s="36"/>
      <c r="D389" s="36"/>
      <c r="E389" s="36"/>
      <c r="F389" s="36"/>
    </row>
    <row r="390" spans="1:6" ht="34.5" thickBot="1">
      <c r="A390" s="1" t="s">
        <v>0</v>
      </c>
      <c r="B390" s="1" t="s">
        <v>1</v>
      </c>
      <c r="C390" s="1" t="s">
        <v>2</v>
      </c>
      <c r="D390" s="1" t="s">
        <v>3</v>
      </c>
      <c r="E390" s="1" t="s">
        <v>4</v>
      </c>
      <c r="F390" s="1" t="s">
        <v>5</v>
      </c>
    </row>
    <row r="391" spans="1:6" ht="15.75" thickBot="1">
      <c r="A391" s="2" t="s">
        <v>123</v>
      </c>
      <c r="B391" s="2" t="s">
        <v>123</v>
      </c>
      <c r="C391" s="2" t="s">
        <v>40</v>
      </c>
      <c r="D391" s="2" t="s">
        <v>53</v>
      </c>
      <c r="E391" s="2" t="s">
        <v>63</v>
      </c>
      <c r="F391" s="2"/>
    </row>
    <row r="392" spans="1:6" ht="15.75" thickBot="1">
      <c r="A392" s="3" t="s">
        <v>11</v>
      </c>
      <c r="B392" s="4" t="s">
        <v>12</v>
      </c>
      <c r="C392" s="37">
        <v>43210</v>
      </c>
      <c r="D392" s="3" t="s">
        <v>13</v>
      </c>
      <c r="E392" s="38" t="s">
        <v>14</v>
      </c>
      <c r="F392" s="39"/>
    </row>
    <row r="393" spans="1:6" ht="15.75" thickBot="1">
      <c r="A393" s="6"/>
      <c r="B393" s="4" t="s">
        <v>15</v>
      </c>
      <c r="C393" s="40">
        <f>IF(C392="","",IF(AND(MONTH(C392)&gt;=1,MONTH(C392)&lt;=3),1,IF(AND(MONTH(C392)&gt;=4,MONTH(C392)&lt;=6),2,IF(AND(MONTH(C392)&gt;=7,MONTH(C392)&lt;=9),3,4))))</f>
        <v>2</v>
      </c>
      <c r="D393" s="6"/>
      <c r="E393" s="38" t="s">
        <v>16</v>
      </c>
      <c r="F393" s="39"/>
    </row>
    <row r="394" spans="1:6" ht="15.75" thickBot="1">
      <c r="A394" s="6"/>
      <c r="B394" s="4" t="s">
        <v>17</v>
      </c>
      <c r="C394" s="37">
        <v>43215</v>
      </c>
      <c r="D394" s="6"/>
      <c r="E394" s="38" t="s">
        <v>18</v>
      </c>
      <c r="F394" s="39"/>
    </row>
    <row r="395" spans="1:6" ht="15.75" thickBot="1">
      <c r="A395" s="6"/>
      <c r="B395" s="4" t="s">
        <v>15</v>
      </c>
      <c r="C395" s="40">
        <f>IF(C394="","",IF(AND(MONTH(C394)&gt;=1,MONTH(C394)&lt;=3),1,IF(AND(MONTH(C394)&gt;=4,MONTH(C394)&lt;=6),2,IF(AND(MONTH(C394)&gt;=7,MONTH(C394)&lt;=9),3,4))))</f>
        <v>2</v>
      </c>
      <c r="D395" s="6"/>
      <c r="E395" s="38" t="s">
        <v>19</v>
      </c>
      <c r="F395" s="39"/>
    </row>
    <row r="396" spans="1:6" ht="17.25" thickBot="1">
      <c r="A396" s="36"/>
      <c r="B396" s="36"/>
      <c r="C396" s="36"/>
      <c r="D396" s="36"/>
      <c r="E396" s="36"/>
      <c r="F396" s="36"/>
    </row>
    <row r="397" spans="1:6" ht="15.75" thickBot="1">
      <c r="A397" s="41" t="s">
        <v>43</v>
      </c>
      <c r="B397" s="41" t="s">
        <v>44</v>
      </c>
      <c r="C397" s="41" t="s">
        <v>45</v>
      </c>
      <c r="D397" s="41" t="s">
        <v>46</v>
      </c>
      <c r="E397" s="41" t="s">
        <v>47</v>
      </c>
      <c r="F397" s="41" t="s">
        <v>48</v>
      </c>
    </row>
    <row r="398" spans="1:6">
      <c r="A398" s="42" t="s">
        <v>124</v>
      </c>
      <c r="B398" s="43" t="str">
        <f ca="1">IFERROR(INDEX(UNSPSCDes,MATCH(INDIRECT(ADDRESS(ROW(),COLUMN()-1,4)),UNSPSCCode,0)),IF(INDIRECT(ADDRESS(ROW(),COLUMN()-1,4))="56101703","Escritorios",""))</f>
        <v>Escritorios</v>
      </c>
      <c r="C398" s="44" t="str">
        <f>IFERROR(VLOOKUP("UD",'[1]Informacion '!P:Q,2,FALSE),"")</f>
        <v>Unidad</v>
      </c>
      <c r="D398" s="42">
        <v>1</v>
      </c>
      <c r="E398" s="45">
        <v>10000</v>
      </c>
      <c r="F398" s="46">
        <f ca="1">INDIRECT(ADDRESS(ROW(),COLUMN()-2,4))*INDIRECT(ADDRESS(ROW(),COLUMN()-1,4))</f>
        <v>10000</v>
      </c>
    </row>
    <row r="399" spans="1:6">
      <c r="A399" s="42" t="s">
        <v>124</v>
      </c>
      <c r="B399" s="43" t="str">
        <f ca="1">IFERROR(INDEX(UNSPSCDes,MATCH(INDIRECT(ADDRESS(ROW(),COLUMN()-1,4)),UNSPSCCode,0)),IF(INDIRECT(ADDRESS(ROW(),COLUMN()-1,4))="56101703","Escritorios",""))</f>
        <v>Escritorios</v>
      </c>
      <c r="C399" s="44" t="str">
        <f>IFERROR(VLOOKUP("UD",'[1]Informacion '!P:Q,2,FALSE),"")</f>
        <v>Unidad</v>
      </c>
      <c r="D399" s="42">
        <v>1</v>
      </c>
      <c r="E399" s="45">
        <v>6500</v>
      </c>
      <c r="F399" s="46">
        <f ca="1">INDIRECT(ADDRESS(ROW(),COLUMN()-2,4))*INDIRECT(ADDRESS(ROW(),COLUMN()-1,4))</f>
        <v>6500</v>
      </c>
    </row>
    <row r="400" spans="1:6">
      <c r="A400" s="42" t="s">
        <v>124</v>
      </c>
      <c r="B400" s="43" t="str">
        <f ca="1">IFERROR(INDEX(UNSPSCDes,MATCH(INDIRECT(ADDRESS(ROW(),COLUMN()-1,4)),UNSPSCCode,0)),IF(INDIRECT(ADDRESS(ROW(),COLUMN()-1,4))="56101703","Escritorios",""))</f>
        <v>Escritorios</v>
      </c>
      <c r="C400" s="44" t="str">
        <f>IFERROR(VLOOKUP("UD",'[1]Informacion '!P:Q,2,FALSE),"")</f>
        <v>Unidad</v>
      </c>
      <c r="D400" s="42">
        <v>1</v>
      </c>
      <c r="E400" s="45">
        <v>10000</v>
      </c>
      <c r="F400" s="46">
        <f ca="1">INDIRECT(ADDRESS(ROW(),COLUMN()-2,4))*INDIRECT(ADDRESS(ROW(),COLUMN()-1,4))</f>
        <v>10000</v>
      </c>
    </row>
    <row r="401" spans="1:6" ht="16.5">
      <c r="A401" s="36"/>
      <c r="B401" s="36"/>
      <c r="C401" s="36"/>
      <c r="D401" s="36"/>
      <c r="E401" s="47" t="s">
        <v>50</v>
      </c>
      <c r="F401" s="48">
        <f ca="1">SUM(Table31[MONTO TOTAL ESTIMADO])</f>
        <v>26500</v>
      </c>
    </row>
    <row r="402" spans="1:6" ht="17.25" thickBot="1">
      <c r="A402" s="36"/>
      <c r="B402" s="36"/>
      <c r="C402" s="36"/>
      <c r="D402" s="36"/>
      <c r="E402" s="36"/>
      <c r="F402" s="36"/>
    </row>
    <row r="403" spans="1:6" ht="34.5" thickBot="1">
      <c r="A403" s="1" t="s">
        <v>0</v>
      </c>
      <c r="B403" s="1" t="s">
        <v>1</v>
      </c>
      <c r="C403" s="1" t="s">
        <v>2</v>
      </c>
      <c r="D403" s="1" t="s">
        <v>3</v>
      </c>
      <c r="E403" s="1" t="s">
        <v>4</v>
      </c>
      <c r="F403" s="1" t="s">
        <v>5</v>
      </c>
    </row>
    <row r="404" spans="1:6" ht="15.75" thickBot="1">
      <c r="A404" s="2" t="s">
        <v>125</v>
      </c>
      <c r="B404" s="2" t="s">
        <v>126</v>
      </c>
      <c r="C404" s="2" t="s">
        <v>40</v>
      </c>
      <c r="D404" s="2" t="s">
        <v>41</v>
      </c>
      <c r="E404" s="2" t="s">
        <v>42</v>
      </c>
      <c r="F404" s="2"/>
    </row>
    <row r="405" spans="1:6" ht="15.75" thickBot="1">
      <c r="A405" s="3" t="s">
        <v>11</v>
      </c>
      <c r="B405" s="4" t="s">
        <v>12</v>
      </c>
      <c r="C405" s="37">
        <v>43208</v>
      </c>
      <c r="D405" s="3" t="s">
        <v>13</v>
      </c>
      <c r="E405" s="38" t="s">
        <v>14</v>
      </c>
      <c r="F405" s="39"/>
    </row>
    <row r="406" spans="1:6" ht="15.75" thickBot="1">
      <c r="A406" s="6"/>
      <c r="B406" s="4" t="s">
        <v>15</v>
      </c>
      <c r="C406" s="40">
        <f>IF(C405="","",IF(AND(MONTH(C405)&gt;=1,MONTH(C405)&lt;=3),1,IF(AND(MONTH(C405)&gt;=4,MONTH(C405)&lt;=6),2,IF(AND(MONTH(C405)&gt;=7,MONTH(C405)&lt;=9),3,4))))</f>
        <v>2</v>
      </c>
      <c r="D406" s="6"/>
      <c r="E406" s="38" t="s">
        <v>16</v>
      </c>
      <c r="F406" s="39"/>
    </row>
    <row r="407" spans="1:6" ht="15.75" thickBot="1">
      <c r="A407" s="6"/>
      <c r="B407" s="4" t="s">
        <v>17</v>
      </c>
      <c r="C407" s="37">
        <v>43209</v>
      </c>
      <c r="D407" s="6"/>
      <c r="E407" s="38" t="s">
        <v>18</v>
      </c>
      <c r="F407" s="39"/>
    </row>
    <row r="408" spans="1:6" ht="15.75" thickBot="1">
      <c r="A408" s="6"/>
      <c r="B408" s="4" t="s">
        <v>15</v>
      </c>
      <c r="C408" s="40">
        <f>IF(C407="","",IF(AND(MONTH(C407)&gt;=1,MONTH(C407)&lt;=3),1,IF(AND(MONTH(C407)&gt;=4,MONTH(C407)&lt;=6),2,IF(AND(MONTH(C407)&gt;=7,MONTH(C407)&lt;=9),3,4))))</f>
        <v>2</v>
      </c>
      <c r="D408" s="6"/>
      <c r="E408" s="38" t="s">
        <v>19</v>
      </c>
      <c r="F408" s="39"/>
    </row>
    <row r="409" spans="1:6" ht="17.25" thickBot="1">
      <c r="A409" s="36"/>
      <c r="B409" s="36"/>
      <c r="C409" s="36"/>
      <c r="D409" s="36"/>
      <c r="E409" s="36"/>
      <c r="F409" s="36"/>
    </row>
    <row r="410" spans="1:6" ht="15.75" thickBot="1">
      <c r="A410" s="41" t="s">
        <v>43</v>
      </c>
      <c r="B410" s="41" t="s">
        <v>44</v>
      </c>
      <c r="C410" s="41" t="s">
        <v>45</v>
      </c>
      <c r="D410" s="41" t="s">
        <v>46</v>
      </c>
      <c r="E410" s="41" t="s">
        <v>47</v>
      </c>
      <c r="F410" s="41" t="s">
        <v>48</v>
      </c>
    </row>
    <row r="411" spans="1:6" ht="22.5">
      <c r="A411" s="42" t="s">
        <v>127</v>
      </c>
      <c r="B411" s="43" t="str">
        <f ca="1">IFERROR(INDEX(UNSPSCDes,MATCH(INDIRECT(ADDRESS(ROW(),COLUMN()-1,4)),UNSPSCCode,0)),IF(INDIRECT(ADDRESS(ROW(),COLUMN()-1,4))="15101505","Combustible diesel",""))</f>
        <v>Combustible diesel</v>
      </c>
      <c r="C411" s="44" t="str">
        <f>IFERROR(VLOOKUP("GAL",'[1]Informacion '!P:Q,2,FALSE),"")</f>
        <v>Galón</v>
      </c>
      <c r="D411" s="42">
        <v>80</v>
      </c>
      <c r="E411" s="45">
        <v>163</v>
      </c>
      <c r="F411" s="46">
        <f ca="1">INDIRECT(ADDRESS(ROW(),COLUMN()-2,4))*INDIRECT(ADDRESS(ROW(),COLUMN()-1,4))</f>
        <v>13040</v>
      </c>
    </row>
    <row r="412" spans="1:6" ht="22.5">
      <c r="A412" s="42" t="s">
        <v>127</v>
      </c>
      <c r="B412" s="43" t="str">
        <f ca="1">IFERROR(INDEX(UNSPSCDes,MATCH(INDIRECT(ADDRESS(ROW(),COLUMN()-1,4)),UNSPSCCode,0)),IF(INDIRECT(ADDRESS(ROW(),COLUMN()-1,4))="15101505","Combustible diesel",""))</f>
        <v>Combustible diesel</v>
      </c>
      <c r="C412" s="44" t="str">
        <f>IFERROR(VLOOKUP("UD",'[1]Informacion '!P:Q,2,FALSE),"")</f>
        <v>Unidad</v>
      </c>
      <c r="D412" s="42">
        <v>25</v>
      </c>
      <c r="E412" s="45">
        <v>1000</v>
      </c>
      <c r="F412" s="46">
        <f ca="1">INDIRECT(ADDRESS(ROW(),COLUMN()-2,4))*INDIRECT(ADDRESS(ROW(),COLUMN()-1,4))</f>
        <v>25000</v>
      </c>
    </row>
    <row r="413" spans="1:6" ht="22.5">
      <c r="A413" s="42" t="s">
        <v>127</v>
      </c>
      <c r="B413" s="43" t="str">
        <f ca="1">IFERROR(INDEX(UNSPSCDes,MATCH(INDIRECT(ADDRESS(ROW(),COLUMN()-1,4)),UNSPSCCode,0)),IF(INDIRECT(ADDRESS(ROW(),COLUMN()-1,4))="15101505","Combustible diesel",""))</f>
        <v>Combustible diesel</v>
      </c>
      <c r="C413" s="44" t="str">
        <f>IFERROR(VLOOKUP("UD",'[1]Informacion '!P:Q,2,FALSE),"")</f>
        <v>Unidad</v>
      </c>
      <c r="D413" s="42">
        <v>25</v>
      </c>
      <c r="E413" s="45">
        <v>1000</v>
      </c>
      <c r="F413" s="46">
        <f ca="1">INDIRECT(ADDRESS(ROW(),COLUMN()-2,4))*INDIRECT(ADDRESS(ROW(),COLUMN()-1,4))</f>
        <v>25000</v>
      </c>
    </row>
    <row r="414" spans="1:6" ht="16.5">
      <c r="A414" s="36"/>
      <c r="B414" s="36"/>
      <c r="C414" s="36"/>
      <c r="D414" s="36"/>
      <c r="E414" s="47" t="s">
        <v>50</v>
      </c>
      <c r="F414" s="48">
        <f ca="1">SUM(Table32[MONTO TOTAL ESTIMADO])</f>
        <v>63040</v>
      </c>
    </row>
    <row r="415" spans="1:6" ht="17.25" thickBot="1">
      <c r="A415" s="36"/>
      <c r="B415" s="36"/>
      <c r="C415" s="36"/>
      <c r="D415" s="36"/>
      <c r="E415" s="36"/>
      <c r="F415" s="36"/>
    </row>
    <row r="416" spans="1:6" ht="34.5" thickBot="1">
      <c r="A416" s="1" t="s">
        <v>0</v>
      </c>
      <c r="B416" s="1" t="s">
        <v>1</v>
      </c>
      <c r="C416" s="1" t="s">
        <v>2</v>
      </c>
      <c r="D416" s="1" t="s">
        <v>3</v>
      </c>
      <c r="E416" s="1" t="s">
        <v>4</v>
      </c>
      <c r="F416" s="1" t="s">
        <v>5</v>
      </c>
    </row>
    <row r="417" spans="1:6" ht="15.75" thickBot="1">
      <c r="A417" s="2" t="s">
        <v>128</v>
      </c>
      <c r="B417" s="2" t="s">
        <v>129</v>
      </c>
      <c r="C417" s="2" t="s">
        <v>40</v>
      </c>
      <c r="D417" s="2" t="s">
        <v>41</v>
      </c>
      <c r="E417" s="2" t="s">
        <v>42</v>
      </c>
      <c r="F417" s="2"/>
    </row>
    <row r="418" spans="1:6" ht="15.75" thickBot="1">
      <c r="A418" s="3" t="s">
        <v>11</v>
      </c>
      <c r="B418" s="4" t="s">
        <v>12</v>
      </c>
      <c r="C418" s="37">
        <v>43223</v>
      </c>
      <c r="D418" s="3" t="s">
        <v>13</v>
      </c>
      <c r="E418" s="38" t="s">
        <v>14</v>
      </c>
      <c r="F418" s="39"/>
    </row>
    <row r="419" spans="1:6" ht="15.75" thickBot="1">
      <c r="A419" s="6"/>
      <c r="B419" s="4" t="s">
        <v>15</v>
      </c>
      <c r="C419" s="40">
        <f>IF(C418="","",IF(AND(MONTH(C418)&gt;=1,MONTH(C418)&lt;=3),1,IF(AND(MONTH(C418)&gt;=4,MONTH(C418)&lt;=6),2,IF(AND(MONTH(C418)&gt;=7,MONTH(C418)&lt;=9),3,4))))</f>
        <v>2</v>
      </c>
      <c r="D419" s="6"/>
      <c r="E419" s="38" t="s">
        <v>16</v>
      </c>
      <c r="F419" s="39"/>
    </row>
    <row r="420" spans="1:6" ht="15.75" thickBot="1">
      <c r="A420" s="6"/>
      <c r="B420" s="4" t="s">
        <v>17</v>
      </c>
      <c r="C420" s="37">
        <v>43225</v>
      </c>
      <c r="D420" s="6"/>
      <c r="E420" s="38" t="s">
        <v>18</v>
      </c>
      <c r="F420" s="39"/>
    </row>
    <row r="421" spans="1:6" ht="15.75" thickBot="1">
      <c r="A421" s="6"/>
      <c r="B421" s="4" t="s">
        <v>15</v>
      </c>
      <c r="C421" s="40">
        <f>IF(C420="","",IF(AND(MONTH(C420)&gt;=1,MONTH(C420)&lt;=3),1,IF(AND(MONTH(C420)&gt;=4,MONTH(C420)&lt;=6),2,IF(AND(MONTH(C420)&gt;=7,MONTH(C420)&lt;=9),3,4))))</f>
        <v>2</v>
      </c>
      <c r="D421" s="6"/>
      <c r="E421" s="38" t="s">
        <v>19</v>
      </c>
      <c r="F421" s="39"/>
    </row>
    <row r="422" spans="1:6" ht="17.25" thickBot="1">
      <c r="A422" s="36"/>
      <c r="B422" s="36"/>
      <c r="C422" s="36"/>
      <c r="D422" s="36"/>
      <c r="E422" s="36"/>
      <c r="F422" s="36"/>
    </row>
    <row r="423" spans="1:6" ht="15.75" thickBot="1">
      <c r="A423" s="41" t="s">
        <v>43</v>
      </c>
      <c r="B423" s="41" t="s">
        <v>44</v>
      </c>
      <c r="C423" s="41" t="s">
        <v>45</v>
      </c>
      <c r="D423" s="41" t="s">
        <v>46</v>
      </c>
      <c r="E423" s="41" t="s">
        <v>47</v>
      </c>
      <c r="F423" s="41" t="s">
        <v>48</v>
      </c>
    </row>
    <row r="424" spans="1:6">
      <c r="A424" s="42" t="s">
        <v>49</v>
      </c>
      <c r="B424" s="43" t="str">
        <f ca="1">IFERROR(INDEX(UNSPSCDes,MATCH(INDIRECT(ADDRESS(ROW(),COLUMN()-1,4)),UNSPSCCode,0)),IF(INDIRECT(ADDRESS(ROW(),COLUMN()-1,4))="15101506","Gasolina",""))</f>
        <v>Gasolina</v>
      </c>
      <c r="C424" s="44" t="str">
        <f>IFERROR(VLOOKUP("UD",'[1]Informacion '!P:Q,2,FALSE),"")</f>
        <v>Unidad</v>
      </c>
      <c r="D424" s="42">
        <v>25</v>
      </c>
      <c r="E424" s="45">
        <v>1000</v>
      </c>
      <c r="F424" s="46">
        <f ca="1">INDIRECT(ADDRESS(ROW(),COLUMN()-2,4))*INDIRECT(ADDRESS(ROW(),COLUMN()-1,4))</f>
        <v>25000</v>
      </c>
    </row>
    <row r="425" spans="1:6">
      <c r="A425" s="42" t="s">
        <v>49</v>
      </c>
      <c r="B425" s="43" t="str">
        <f ca="1">IFERROR(INDEX(UNSPSCDes,MATCH(INDIRECT(ADDRESS(ROW(),COLUMN()-1,4)),UNSPSCCode,0)),IF(INDIRECT(ADDRESS(ROW(),COLUMN()-1,4))="15101506","Gasolina",""))</f>
        <v>Gasolina</v>
      </c>
      <c r="C425" s="44" t="str">
        <f>IFERROR(VLOOKUP("UD",'[1]Informacion '!P:Q,2,FALSE),"")</f>
        <v>Unidad</v>
      </c>
      <c r="D425" s="42">
        <v>200</v>
      </c>
      <c r="E425" s="45">
        <v>500</v>
      </c>
      <c r="F425" s="46">
        <f ca="1">INDIRECT(ADDRESS(ROW(),COLUMN()-2,4))*INDIRECT(ADDRESS(ROW(),COLUMN()-1,4))</f>
        <v>100000</v>
      </c>
    </row>
    <row r="426" spans="1:6">
      <c r="A426" s="42" t="s">
        <v>49</v>
      </c>
      <c r="B426" s="43" t="str">
        <f ca="1">IFERROR(INDEX(UNSPSCDes,MATCH(INDIRECT(ADDRESS(ROW(),COLUMN()-1,4)),UNSPSCCode,0)),IF(INDIRECT(ADDRESS(ROW(),COLUMN()-1,4))="15101506","Gasolina",""))</f>
        <v>Gasolina</v>
      </c>
      <c r="C426" s="44" t="str">
        <f>IFERROR(VLOOKUP("UD",'[1]Informacion '!P:Q,2,FALSE),"")</f>
        <v>Unidad</v>
      </c>
      <c r="D426" s="42">
        <v>250</v>
      </c>
      <c r="E426" s="45">
        <v>200</v>
      </c>
      <c r="F426" s="46">
        <f ca="1">INDIRECT(ADDRESS(ROW(),COLUMN()-2,4))*INDIRECT(ADDRESS(ROW(),COLUMN()-1,4))</f>
        <v>50000</v>
      </c>
    </row>
    <row r="427" spans="1:6">
      <c r="A427" s="42" t="s">
        <v>49</v>
      </c>
      <c r="B427" s="43" t="str">
        <f ca="1">IFERROR(INDEX(UNSPSCDes,MATCH(INDIRECT(ADDRESS(ROW(),COLUMN()-1,4)),UNSPSCCode,0)),IF(INDIRECT(ADDRESS(ROW(),COLUMN()-1,4))="15101506","Gasolina",""))</f>
        <v>Gasolina</v>
      </c>
      <c r="C427" s="44" t="str">
        <f>IFERROR(VLOOKUP("UD",'[1]Informacion '!P:Q,2,FALSE),"")</f>
        <v>Unidad</v>
      </c>
      <c r="D427" s="42">
        <v>150</v>
      </c>
      <c r="E427" s="45">
        <v>100</v>
      </c>
      <c r="F427" s="46">
        <f ca="1">INDIRECT(ADDRESS(ROW(),COLUMN()-2,4))*INDIRECT(ADDRESS(ROW(),COLUMN()-1,4))</f>
        <v>15000</v>
      </c>
    </row>
    <row r="428" spans="1:6" ht="16.5">
      <c r="A428" s="36"/>
      <c r="B428" s="36"/>
      <c r="C428" s="36"/>
      <c r="D428" s="36"/>
      <c r="E428" s="47" t="s">
        <v>50</v>
      </c>
      <c r="F428" s="48">
        <f ca="1">SUM(Table33[MONTO TOTAL ESTIMADO])</f>
        <v>190000</v>
      </c>
    </row>
    <row r="429" spans="1:6" ht="17.25" thickBot="1">
      <c r="A429" s="36"/>
      <c r="B429" s="36"/>
      <c r="C429" s="36"/>
      <c r="D429" s="36"/>
      <c r="E429" s="36"/>
      <c r="F429" s="36"/>
    </row>
    <row r="430" spans="1:6" ht="34.5" thickBot="1">
      <c r="A430" s="1" t="s">
        <v>0</v>
      </c>
      <c r="B430" s="1" t="s">
        <v>1</v>
      </c>
      <c r="C430" s="1" t="s">
        <v>2</v>
      </c>
      <c r="D430" s="1" t="s">
        <v>3</v>
      </c>
      <c r="E430" s="1" t="s">
        <v>4</v>
      </c>
      <c r="F430" s="1" t="s">
        <v>5</v>
      </c>
    </row>
    <row r="431" spans="1:6" ht="15.75" thickBot="1">
      <c r="A431" s="2" t="s">
        <v>130</v>
      </c>
      <c r="B431" s="2" t="s">
        <v>131</v>
      </c>
      <c r="C431" s="2" t="s">
        <v>8</v>
      </c>
      <c r="D431" s="2" t="s">
        <v>62</v>
      </c>
      <c r="E431" s="2" t="s">
        <v>42</v>
      </c>
      <c r="F431" s="2"/>
    </row>
    <row r="432" spans="1:6" ht="15.75" thickBot="1">
      <c r="A432" s="3" t="s">
        <v>11</v>
      </c>
      <c r="B432" s="4" t="s">
        <v>12</v>
      </c>
      <c r="C432" s="37">
        <v>43202</v>
      </c>
      <c r="D432" s="3" t="s">
        <v>13</v>
      </c>
      <c r="E432" s="38" t="s">
        <v>14</v>
      </c>
      <c r="F432" s="39"/>
    </row>
    <row r="433" spans="1:6" ht="15.75" thickBot="1">
      <c r="A433" s="6"/>
      <c r="B433" s="4" t="s">
        <v>15</v>
      </c>
      <c r="C433" s="40">
        <f>IF(C432="","",IF(AND(MONTH(C432)&gt;=1,MONTH(C432)&lt;=3),1,IF(AND(MONTH(C432)&gt;=4,MONTH(C432)&lt;=6),2,IF(AND(MONTH(C432)&gt;=7,MONTH(C432)&lt;=9),3,4))))</f>
        <v>2</v>
      </c>
      <c r="D433" s="6"/>
      <c r="E433" s="38" t="s">
        <v>16</v>
      </c>
      <c r="F433" s="39"/>
    </row>
    <row r="434" spans="1:6" ht="15.75" thickBot="1">
      <c r="A434" s="6"/>
      <c r="B434" s="4" t="s">
        <v>17</v>
      </c>
      <c r="C434" s="37">
        <v>43203</v>
      </c>
      <c r="D434" s="6"/>
      <c r="E434" s="38" t="s">
        <v>18</v>
      </c>
      <c r="F434" s="39"/>
    </row>
    <row r="435" spans="1:6" ht="15.75" thickBot="1">
      <c r="A435" s="6"/>
      <c r="B435" s="4" t="s">
        <v>15</v>
      </c>
      <c r="C435" s="40">
        <f>IF(C434="","",IF(AND(MONTH(C434)&gt;=1,MONTH(C434)&lt;=3),1,IF(AND(MONTH(C434)&gt;=4,MONTH(C434)&lt;=6),2,IF(AND(MONTH(C434)&gt;=7,MONTH(C434)&lt;=9),3,4))))</f>
        <v>2</v>
      </c>
      <c r="D435" s="6"/>
      <c r="E435" s="38" t="s">
        <v>19</v>
      </c>
      <c r="F435" s="39"/>
    </row>
    <row r="436" spans="1:6" ht="17.25" thickBot="1">
      <c r="A436" s="36"/>
      <c r="B436" s="36"/>
      <c r="C436" s="36"/>
      <c r="D436" s="36"/>
      <c r="E436" s="36"/>
      <c r="F436" s="36"/>
    </row>
    <row r="437" spans="1:6" ht="15.75" thickBot="1">
      <c r="A437" s="41" t="s">
        <v>43</v>
      </c>
      <c r="B437" s="41" t="s">
        <v>44</v>
      </c>
      <c r="C437" s="41" t="s">
        <v>45</v>
      </c>
      <c r="D437" s="41" t="s">
        <v>46</v>
      </c>
      <c r="E437" s="41" t="s">
        <v>47</v>
      </c>
      <c r="F437" s="41" t="s">
        <v>48</v>
      </c>
    </row>
    <row r="438" spans="1:6" ht="22.5">
      <c r="A438" s="42" t="s">
        <v>132</v>
      </c>
      <c r="B438" s="43" t="str">
        <f ca="1">IFERROR(INDEX(UNSPSCDes,MATCH(INDIRECT(ADDRESS(ROW(),COLUMN()-1,4)),UNSPSCCode,0)),IF(INDIRECT(ADDRESS(ROW(),COLUMN()-1,4))="82101504","Publicidad en periódicos",""))</f>
        <v>Publicidad en periódicos</v>
      </c>
      <c r="C438" s="44" t="str">
        <f>IFERROR(VLOOKUP("UD",'[1]Informacion '!P:Q,2,FALSE),"")</f>
        <v>Unidad</v>
      </c>
      <c r="D438" s="42">
        <v>1</v>
      </c>
      <c r="E438" s="45">
        <v>50000</v>
      </c>
      <c r="F438" s="46">
        <f ca="1">INDIRECT(ADDRESS(ROW(),COLUMN()-2,4))*INDIRECT(ADDRESS(ROW(),COLUMN()-1,4))</f>
        <v>50000</v>
      </c>
    </row>
    <row r="439" spans="1:6" ht="16.5">
      <c r="A439" s="36"/>
      <c r="B439" s="36"/>
      <c r="C439" s="36"/>
      <c r="D439" s="36"/>
      <c r="E439" s="47" t="s">
        <v>50</v>
      </c>
      <c r="F439" s="48">
        <f ca="1">SUM(Table34[MONTO TOTAL ESTIMADO])</f>
        <v>50000</v>
      </c>
    </row>
    <row r="440" spans="1:6" ht="17.25" thickBot="1">
      <c r="A440" s="36"/>
      <c r="B440" s="36"/>
      <c r="C440" s="36"/>
      <c r="D440" s="36"/>
      <c r="E440" s="36"/>
      <c r="F440" s="36"/>
    </row>
    <row r="441" spans="1:6" ht="34.5" thickBot="1">
      <c r="A441" s="1" t="s">
        <v>0</v>
      </c>
      <c r="B441" s="1" t="s">
        <v>1</v>
      </c>
      <c r="C441" s="1" t="s">
        <v>2</v>
      </c>
      <c r="D441" s="1" t="s">
        <v>3</v>
      </c>
      <c r="E441" s="1" t="s">
        <v>4</v>
      </c>
      <c r="F441" s="1" t="s">
        <v>5</v>
      </c>
    </row>
    <row r="442" spans="1:6" ht="15.75" thickBot="1">
      <c r="A442" s="2" t="s">
        <v>133</v>
      </c>
      <c r="B442" s="2" t="s">
        <v>134</v>
      </c>
      <c r="C442" s="2" t="s">
        <v>40</v>
      </c>
      <c r="D442" s="2" t="s">
        <v>62</v>
      </c>
      <c r="E442" s="2" t="s">
        <v>42</v>
      </c>
      <c r="F442" s="2"/>
    </row>
    <row r="443" spans="1:6" ht="15.75" thickBot="1">
      <c r="A443" s="3" t="s">
        <v>11</v>
      </c>
      <c r="B443" s="4" t="s">
        <v>12</v>
      </c>
      <c r="C443" s="37">
        <v>43252</v>
      </c>
      <c r="D443" s="3" t="s">
        <v>13</v>
      </c>
      <c r="E443" s="38" t="s">
        <v>14</v>
      </c>
      <c r="F443" s="39"/>
    </row>
    <row r="444" spans="1:6" ht="15.75" thickBot="1">
      <c r="A444" s="6"/>
      <c r="B444" s="4" t="s">
        <v>15</v>
      </c>
      <c r="C444" s="40">
        <f>IF(C443="","",IF(AND(MONTH(C443)&gt;=1,MONTH(C443)&lt;=3),1,IF(AND(MONTH(C443)&gt;=4,MONTH(C443)&lt;=6),2,IF(AND(MONTH(C443)&gt;=7,MONTH(C443)&lt;=9),3,4))))</f>
        <v>2</v>
      </c>
      <c r="D444" s="6"/>
      <c r="E444" s="38" t="s">
        <v>16</v>
      </c>
      <c r="F444" s="39"/>
    </row>
    <row r="445" spans="1:6" ht="15.75" thickBot="1">
      <c r="A445" s="6"/>
      <c r="B445" s="4" t="s">
        <v>17</v>
      </c>
      <c r="C445" s="37">
        <v>43253</v>
      </c>
      <c r="D445" s="6"/>
      <c r="E445" s="38" t="s">
        <v>18</v>
      </c>
      <c r="F445" s="39"/>
    </row>
    <row r="446" spans="1:6" ht="15.75" thickBot="1">
      <c r="A446" s="6"/>
      <c r="B446" s="4" t="s">
        <v>15</v>
      </c>
      <c r="C446" s="40">
        <f>IF(C445="","",IF(AND(MONTH(C445)&gt;=1,MONTH(C445)&lt;=3),1,IF(AND(MONTH(C445)&gt;=4,MONTH(C445)&lt;=6),2,IF(AND(MONTH(C445)&gt;=7,MONTH(C445)&lt;=9),3,4))))</f>
        <v>2</v>
      </c>
      <c r="D446" s="6"/>
      <c r="E446" s="38" t="s">
        <v>19</v>
      </c>
      <c r="F446" s="39"/>
    </row>
    <row r="447" spans="1:6" ht="17.25" thickBot="1">
      <c r="A447" s="36"/>
      <c r="B447" s="36"/>
      <c r="C447" s="36"/>
      <c r="D447" s="36"/>
      <c r="E447" s="36"/>
      <c r="F447" s="36"/>
    </row>
    <row r="448" spans="1:6" ht="15.75" thickBot="1">
      <c r="A448" s="41" t="s">
        <v>43</v>
      </c>
      <c r="B448" s="41" t="s">
        <v>44</v>
      </c>
      <c r="C448" s="41" t="s">
        <v>45</v>
      </c>
      <c r="D448" s="41" t="s">
        <v>46</v>
      </c>
      <c r="E448" s="41" t="s">
        <v>47</v>
      </c>
      <c r="F448" s="41" t="s">
        <v>48</v>
      </c>
    </row>
    <row r="449" spans="1:6" ht="33.75">
      <c r="A449" s="42" t="s">
        <v>135</v>
      </c>
      <c r="B449" s="43" t="str">
        <f ca="1">IFERROR(INDEX(UNSPSCDes,MATCH(INDIRECT(ADDRESS(ROW(),COLUMN()-1,4)),UNSPSCCode,0)),IF(INDIRECT(ADDRESS(ROW(),COLUMN()-1,4))="43212110","Impresoras de múltiples funciones",""))</f>
        <v>Impresoras de múltiples funciones</v>
      </c>
      <c r="C449" s="44" t="str">
        <f>IFERROR(VLOOKUP("UD",'[1]Informacion '!P:Q,2,FALSE),"")</f>
        <v>Unidad</v>
      </c>
      <c r="D449" s="42">
        <v>1</v>
      </c>
      <c r="E449" s="45">
        <v>10000</v>
      </c>
      <c r="F449" s="46">
        <f ca="1">INDIRECT(ADDRESS(ROW(),COLUMN()-2,4))*INDIRECT(ADDRESS(ROW(),COLUMN()-1,4))</f>
        <v>10000</v>
      </c>
    </row>
    <row r="450" spans="1:6" ht="33.75">
      <c r="A450" s="42" t="s">
        <v>135</v>
      </c>
      <c r="B450" s="43" t="str">
        <f ca="1">IFERROR(INDEX(UNSPSCDes,MATCH(INDIRECT(ADDRESS(ROW(),COLUMN()-1,4)),UNSPSCCode,0)),IF(INDIRECT(ADDRESS(ROW(),COLUMN()-1,4))="43212110","Impresoras de múltiples funciones",""))</f>
        <v>Impresoras de múltiples funciones</v>
      </c>
      <c r="C450" s="44" t="str">
        <f>IFERROR(VLOOKUP("UD",'[1]Informacion '!P:Q,2,FALSE),"")</f>
        <v>Unidad</v>
      </c>
      <c r="D450" s="42">
        <v>1</v>
      </c>
      <c r="E450" s="45">
        <v>15000</v>
      </c>
      <c r="F450" s="46">
        <f ca="1">INDIRECT(ADDRESS(ROW(),COLUMN()-2,4))*INDIRECT(ADDRESS(ROW(),COLUMN()-1,4))</f>
        <v>15000</v>
      </c>
    </row>
    <row r="451" spans="1:6" ht="33.75">
      <c r="A451" s="42" t="s">
        <v>135</v>
      </c>
      <c r="B451" s="43" t="str">
        <f ca="1">IFERROR(INDEX(UNSPSCDes,MATCH(INDIRECT(ADDRESS(ROW(),COLUMN()-1,4)),UNSPSCCode,0)),IF(INDIRECT(ADDRESS(ROW(),COLUMN()-1,4))="43212110","Impresoras de múltiples funciones",""))</f>
        <v>Impresoras de múltiples funciones</v>
      </c>
      <c r="C451" s="44" t="str">
        <f>IFERROR(VLOOKUP("UD",'[1]Informacion '!P:Q,2,FALSE),"")</f>
        <v>Unidad</v>
      </c>
      <c r="D451" s="42">
        <v>1</v>
      </c>
      <c r="E451" s="45">
        <v>15000</v>
      </c>
      <c r="F451" s="46">
        <f ca="1">INDIRECT(ADDRESS(ROW(),COLUMN()-2,4))*INDIRECT(ADDRESS(ROW(),COLUMN()-1,4))</f>
        <v>15000</v>
      </c>
    </row>
    <row r="452" spans="1:6" ht="16.5">
      <c r="A452" s="36"/>
      <c r="B452" s="36"/>
      <c r="C452" s="36"/>
      <c r="D452" s="36"/>
      <c r="E452" s="47" t="s">
        <v>50</v>
      </c>
      <c r="F452" s="48">
        <f ca="1">SUM(Table35[MONTO TOTAL ESTIMADO])</f>
        <v>40000</v>
      </c>
    </row>
    <row r="453" spans="1:6" ht="17.25" thickBot="1">
      <c r="A453" s="36"/>
      <c r="B453" s="36"/>
      <c r="C453" s="36"/>
      <c r="D453" s="36"/>
      <c r="E453" s="36"/>
      <c r="F453" s="36"/>
    </row>
    <row r="454" spans="1:6" ht="34.5" thickBot="1">
      <c r="A454" s="1" t="s">
        <v>0</v>
      </c>
      <c r="B454" s="1" t="s">
        <v>1</v>
      </c>
      <c r="C454" s="1" t="s">
        <v>2</v>
      </c>
      <c r="D454" s="1" t="s">
        <v>3</v>
      </c>
      <c r="E454" s="1" t="s">
        <v>4</v>
      </c>
      <c r="F454" s="1" t="s">
        <v>5</v>
      </c>
    </row>
    <row r="455" spans="1:6" ht="15.75" thickBot="1">
      <c r="A455" s="2" t="s">
        <v>136</v>
      </c>
      <c r="B455" s="2" t="s">
        <v>137</v>
      </c>
      <c r="C455" s="2" t="s">
        <v>40</v>
      </c>
      <c r="D455" s="2" t="s">
        <v>62</v>
      </c>
      <c r="E455" s="2" t="s">
        <v>63</v>
      </c>
      <c r="F455" s="2"/>
    </row>
    <row r="456" spans="1:6" ht="15.75" thickBot="1">
      <c r="A456" s="3" t="s">
        <v>11</v>
      </c>
      <c r="B456" s="4" t="s">
        <v>12</v>
      </c>
      <c r="C456" s="37">
        <v>43209</v>
      </c>
      <c r="D456" s="3" t="s">
        <v>13</v>
      </c>
      <c r="E456" s="38" t="s">
        <v>14</v>
      </c>
      <c r="F456" s="39"/>
    </row>
    <row r="457" spans="1:6" ht="15.75" thickBot="1">
      <c r="A457" s="6"/>
      <c r="B457" s="4" t="s">
        <v>15</v>
      </c>
      <c r="C457" s="40">
        <f>IF(C456="","",IF(AND(MONTH(C456)&gt;=1,MONTH(C456)&lt;=3),1,IF(AND(MONTH(C456)&gt;=4,MONTH(C456)&lt;=6),2,IF(AND(MONTH(C456)&gt;=7,MONTH(C456)&lt;=9),3,4))))</f>
        <v>2</v>
      </c>
      <c r="D457" s="6"/>
      <c r="E457" s="38" t="s">
        <v>16</v>
      </c>
      <c r="F457" s="39"/>
    </row>
    <row r="458" spans="1:6" ht="15.75" thickBot="1">
      <c r="A458" s="6"/>
      <c r="B458" s="4" t="s">
        <v>17</v>
      </c>
      <c r="C458" s="37">
        <v>43211</v>
      </c>
      <c r="D458" s="6"/>
      <c r="E458" s="38" t="s">
        <v>18</v>
      </c>
      <c r="F458" s="39"/>
    </row>
    <row r="459" spans="1:6" ht="15.75" thickBot="1">
      <c r="A459" s="6"/>
      <c r="B459" s="4" t="s">
        <v>15</v>
      </c>
      <c r="C459" s="40">
        <f>IF(C458="","",IF(AND(MONTH(C458)&gt;=1,MONTH(C458)&lt;=3),1,IF(AND(MONTH(C458)&gt;=4,MONTH(C458)&lt;=6),2,IF(AND(MONTH(C458)&gt;=7,MONTH(C458)&lt;=9),3,4))))</f>
        <v>2</v>
      </c>
      <c r="D459" s="6"/>
      <c r="E459" s="38" t="s">
        <v>19</v>
      </c>
      <c r="F459" s="39"/>
    </row>
    <row r="460" spans="1:6" ht="17.25" thickBot="1">
      <c r="A460" s="36"/>
      <c r="B460" s="36"/>
      <c r="C460" s="36"/>
      <c r="D460" s="36"/>
      <c r="E460" s="36"/>
      <c r="F460" s="36"/>
    </row>
    <row r="461" spans="1:6" ht="15.75" thickBot="1">
      <c r="A461" s="41" t="s">
        <v>43</v>
      </c>
      <c r="B461" s="41" t="s">
        <v>44</v>
      </c>
      <c r="C461" s="41" t="s">
        <v>45</v>
      </c>
      <c r="D461" s="41" t="s">
        <v>46</v>
      </c>
      <c r="E461" s="41" t="s">
        <v>47</v>
      </c>
      <c r="F461" s="41" t="s">
        <v>48</v>
      </c>
    </row>
    <row r="462" spans="1:6" ht="22.5">
      <c r="A462" s="42" t="s">
        <v>138</v>
      </c>
      <c r="B462" s="43" t="str">
        <f ca="1">IFERROR(INDEX(UNSPSCDes,MATCH(INDIRECT(ADDRESS(ROW(),COLUMN()-1,4)),UNSPSCCode,0)),IF(INDIRECT(ADDRESS(ROW(),COLUMN()-1,4))="44121510","Sellos para correo",""))</f>
        <v>Sellos para correo</v>
      </c>
      <c r="C462" s="44" t="str">
        <f>IFERROR(VLOOKUP("UD",'[1]Informacion '!P:Q,2,FALSE),"")</f>
        <v>Unidad</v>
      </c>
      <c r="D462" s="42">
        <v>1</v>
      </c>
      <c r="E462" s="45">
        <v>2504.9899999999998</v>
      </c>
      <c r="F462" s="46">
        <f ca="1">INDIRECT(ADDRESS(ROW(),COLUMN()-2,4))*INDIRECT(ADDRESS(ROW(),COLUMN()-1,4))</f>
        <v>2504.9899999999998</v>
      </c>
    </row>
    <row r="463" spans="1:6" ht="16.5">
      <c r="A463" s="36"/>
      <c r="B463" s="36"/>
      <c r="C463" s="36"/>
      <c r="D463" s="36"/>
      <c r="E463" s="47" t="s">
        <v>50</v>
      </c>
      <c r="F463" s="48">
        <f ca="1">SUM(Table36[MONTO TOTAL ESTIMADO])</f>
        <v>2504.9899999999998</v>
      </c>
    </row>
    <row r="464" spans="1:6" ht="17.25" thickBot="1">
      <c r="A464" s="36"/>
      <c r="B464" s="36"/>
      <c r="C464" s="36"/>
      <c r="D464" s="36"/>
      <c r="E464" s="36"/>
      <c r="F464" s="36"/>
    </row>
    <row r="465" spans="1:6" ht="34.5" thickBot="1">
      <c r="A465" s="1" t="s">
        <v>0</v>
      </c>
      <c r="B465" s="1" t="s">
        <v>1</v>
      </c>
      <c r="C465" s="1" t="s">
        <v>2</v>
      </c>
      <c r="D465" s="1" t="s">
        <v>3</v>
      </c>
      <c r="E465" s="1" t="s">
        <v>4</v>
      </c>
      <c r="F465" s="1" t="s">
        <v>5</v>
      </c>
    </row>
    <row r="466" spans="1:6" ht="15.75" thickBot="1">
      <c r="A466" s="2" t="s">
        <v>139</v>
      </c>
      <c r="B466" s="2" t="s">
        <v>140</v>
      </c>
      <c r="C466" s="2" t="s">
        <v>8</v>
      </c>
      <c r="D466" s="2" t="s">
        <v>62</v>
      </c>
      <c r="E466" s="2" t="s">
        <v>42</v>
      </c>
      <c r="F466" s="2"/>
    </row>
    <row r="467" spans="1:6" ht="15.75" thickBot="1">
      <c r="A467" s="3" t="s">
        <v>11</v>
      </c>
      <c r="B467" s="4" t="s">
        <v>12</v>
      </c>
      <c r="C467" s="37">
        <v>43229</v>
      </c>
      <c r="D467" s="3" t="s">
        <v>13</v>
      </c>
      <c r="E467" s="38" t="s">
        <v>14</v>
      </c>
      <c r="F467" s="39"/>
    </row>
    <row r="468" spans="1:6" ht="15.75" thickBot="1">
      <c r="A468" s="6"/>
      <c r="B468" s="4" t="s">
        <v>15</v>
      </c>
      <c r="C468" s="40">
        <f>IF(C467="","",IF(AND(MONTH(C467)&gt;=1,MONTH(C467)&lt;=3),1,IF(AND(MONTH(C467)&gt;=4,MONTH(C467)&lt;=6),2,IF(AND(MONTH(C467)&gt;=7,MONTH(C467)&lt;=9),3,4))))</f>
        <v>2</v>
      </c>
      <c r="D468" s="6"/>
      <c r="E468" s="38" t="s">
        <v>16</v>
      </c>
      <c r="F468" s="39"/>
    </row>
    <row r="469" spans="1:6" ht="15.75" thickBot="1">
      <c r="A469" s="6"/>
      <c r="B469" s="4" t="s">
        <v>17</v>
      </c>
      <c r="C469" s="37">
        <v>43230</v>
      </c>
      <c r="D469" s="6"/>
      <c r="E469" s="38" t="s">
        <v>18</v>
      </c>
      <c r="F469" s="39"/>
    </row>
    <row r="470" spans="1:6" ht="15.75" thickBot="1">
      <c r="A470" s="6"/>
      <c r="B470" s="4" t="s">
        <v>15</v>
      </c>
      <c r="C470" s="40">
        <f>IF(C469="","",IF(AND(MONTH(C469)&gt;=1,MONTH(C469)&lt;=3),1,IF(AND(MONTH(C469)&gt;=4,MONTH(C469)&lt;=6),2,IF(AND(MONTH(C469)&gt;=7,MONTH(C469)&lt;=9),3,4))))</f>
        <v>2</v>
      </c>
      <c r="D470" s="6"/>
      <c r="E470" s="38" t="s">
        <v>19</v>
      </c>
      <c r="F470" s="39"/>
    </row>
    <row r="471" spans="1:6" ht="17.25" thickBot="1">
      <c r="A471" s="36"/>
      <c r="B471" s="36"/>
      <c r="C471" s="36"/>
      <c r="D471" s="36"/>
      <c r="E471" s="36"/>
      <c r="F471" s="36"/>
    </row>
    <row r="472" spans="1:6" ht="15.75" thickBot="1">
      <c r="A472" s="41" t="s">
        <v>43</v>
      </c>
      <c r="B472" s="41" t="s">
        <v>44</v>
      </c>
      <c r="C472" s="41" t="s">
        <v>45</v>
      </c>
      <c r="D472" s="41" t="s">
        <v>46</v>
      </c>
      <c r="E472" s="41" t="s">
        <v>47</v>
      </c>
      <c r="F472" s="41" t="s">
        <v>48</v>
      </c>
    </row>
    <row r="473" spans="1:6" ht="33.75">
      <c r="A473" s="42" t="s">
        <v>89</v>
      </c>
      <c r="B473" s="43" t="str">
        <f ca="1">IFERROR(INDEX(UNSPSCDes,MATCH(INDIRECT(ADDRESS(ROW(),COLUMN()-1,4)),UNSPSCCode,0)),IF(INDIRECT(ADDRESS(ROW(),COLUMN()-1,4))="43231512","Software de manejo de licencias",""))</f>
        <v>Software de manejo de licencias</v>
      </c>
      <c r="C473" s="44" t="str">
        <f>IFERROR(VLOOKUP("UD",'[1]Informacion '!P:Q,2,FALSE),"")</f>
        <v>Unidad</v>
      </c>
      <c r="D473" s="42">
        <v>2</v>
      </c>
      <c r="E473" s="45">
        <v>45000</v>
      </c>
      <c r="F473" s="46">
        <f ca="1">INDIRECT(ADDRESS(ROW(),COLUMN()-2,4))*INDIRECT(ADDRESS(ROW(),COLUMN()-1,4))</f>
        <v>90000</v>
      </c>
    </row>
    <row r="474" spans="1:6" ht="16.5">
      <c r="A474" s="36"/>
      <c r="B474" s="36"/>
      <c r="C474" s="36"/>
      <c r="D474" s="36"/>
      <c r="E474" s="47" t="s">
        <v>50</v>
      </c>
      <c r="F474" s="48">
        <f ca="1">SUM(Table37[MONTO TOTAL ESTIMADO])</f>
        <v>90000</v>
      </c>
    </row>
    <row r="475" spans="1:6" ht="17.25" thickBot="1">
      <c r="A475" s="36"/>
      <c r="B475" s="36"/>
      <c r="C475" s="36"/>
      <c r="D475" s="36"/>
      <c r="E475" s="36"/>
      <c r="F475" s="36"/>
    </row>
    <row r="476" spans="1:6" ht="34.5" thickBot="1">
      <c r="A476" s="1" t="s">
        <v>0</v>
      </c>
      <c r="B476" s="1" t="s">
        <v>1</v>
      </c>
      <c r="C476" s="1" t="s">
        <v>2</v>
      </c>
      <c r="D476" s="1" t="s">
        <v>3</v>
      </c>
      <c r="E476" s="1" t="s">
        <v>4</v>
      </c>
      <c r="F476" s="1" t="s">
        <v>5</v>
      </c>
    </row>
    <row r="477" spans="1:6" ht="15.75" thickBot="1">
      <c r="A477" s="2" t="s">
        <v>141</v>
      </c>
      <c r="B477" s="2" t="s">
        <v>142</v>
      </c>
      <c r="C477" s="2" t="s">
        <v>40</v>
      </c>
      <c r="D477" s="2" t="s">
        <v>62</v>
      </c>
      <c r="E477" s="2" t="s">
        <v>42</v>
      </c>
      <c r="F477" s="2"/>
    </row>
    <row r="478" spans="1:6" ht="15.75" thickBot="1">
      <c r="A478" s="3" t="s">
        <v>11</v>
      </c>
      <c r="B478" s="4" t="s">
        <v>12</v>
      </c>
      <c r="C478" s="37">
        <v>43215</v>
      </c>
      <c r="D478" s="3" t="s">
        <v>13</v>
      </c>
      <c r="E478" s="38" t="s">
        <v>14</v>
      </c>
      <c r="F478" s="39"/>
    </row>
    <row r="479" spans="1:6" ht="15.75" thickBot="1">
      <c r="A479" s="6"/>
      <c r="B479" s="4" t="s">
        <v>15</v>
      </c>
      <c r="C479" s="40">
        <f>IF(C478="","",IF(AND(MONTH(C478)&gt;=1,MONTH(C478)&lt;=3),1,IF(AND(MONTH(C478)&gt;=4,MONTH(C478)&lt;=6),2,IF(AND(MONTH(C478)&gt;=7,MONTH(C478)&lt;=9),3,4))))</f>
        <v>2</v>
      </c>
      <c r="D479" s="6"/>
      <c r="E479" s="38" t="s">
        <v>16</v>
      </c>
      <c r="F479" s="39"/>
    </row>
    <row r="480" spans="1:6" ht="15.75" thickBot="1">
      <c r="A480" s="6"/>
      <c r="B480" s="4" t="s">
        <v>17</v>
      </c>
      <c r="C480" s="37">
        <v>43216</v>
      </c>
      <c r="D480" s="6"/>
      <c r="E480" s="38" t="s">
        <v>18</v>
      </c>
      <c r="F480" s="39"/>
    </row>
    <row r="481" spans="1:6" ht="15.75" thickBot="1">
      <c r="A481" s="6"/>
      <c r="B481" s="4" t="s">
        <v>15</v>
      </c>
      <c r="C481" s="40">
        <f>IF(C480="","",IF(AND(MONTH(C480)&gt;=1,MONTH(C480)&lt;=3),1,IF(AND(MONTH(C480)&gt;=4,MONTH(C480)&lt;=6),2,IF(AND(MONTH(C480)&gt;=7,MONTH(C480)&lt;=9),3,4))))</f>
        <v>2</v>
      </c>
      <c r="D481" s="6"/>
      <c r="E481" s="38" t="s">
        <v>19</v>
      </c>
      <c r="F481" s="39"/>
    </row>
    <row r="482" spans="1:6" ht="17.25" thickBot="1">
      <c r="A482" s="36"/>
      <c r="B482" s="36"/>
      <c r="C482" s="36"/>
      <c r="D482" s="36"/>
      <c r="E482" s="36"/>
      <c r="F482" s="36"/>
    </row>
    <row r="483" spans="1:6" ht="15.75" thickBot="1">
      <c r="A483" s="41" t="s">
        <v>43</v>
      </c>
      <c r="B483" s="41" t="s">
        <v>44</v>
      </c>
      <c r="C483" s="41" t="s">
        <v>45</v>
      </c>
      <c r="D483" s="41" t="s">
        <v>46</v>
      </c>
      <c r="E483" s="41" t="s">
        <v>47</v>
      </c>
      <c r="F483" s="41" t="s">
        <v>48</v>
      </c>
    </row>
    <row r="484" spans="1:6" ht="22.5">
      <c r="A484" s="42" t="s">
        <v>143</v>
      </c>
      <c r="B484" s="43" t="str">
        <f ca="1">IFERROR(INDEX(UNSPSCDes,MATCH(INDIRECT(ADDRESS(ROW(),COLUMN()-1,4)),UNSPSCCode,0)),IF(INDIRECT(ADDRESS(ROW(),COLUMN()-1,4))="43211501","Servidores de computador",""))</f>
        <v>Servidores de computador</v>
      </c>
      <c r="C484" s="44" t="str">
        <f>IFERROR(VLOOKUP("UD",'[1]Informacion '!P:Q,2,FALSE),"")</f>
        <v>Unidad</v>
      </c>
      <c r="D484" s="42">
        <v>1</v>
      </c>
      <c r="E484" s="45">
        <v>42500</v>
      </c>
      <c r="F484" s="46">
        <f ca="1">INDIRECT(ADDRESS(ROW(),COLUMN()-2,4))*INDIRECT(ADDRESS(ROW(),COLUMN()-1,4))</f>
        <v>42500</v>
      </c>
    </row>
    <row r="485" spans="1:6" ht="16.5">
      <c r="A485" s="36"/>
      <c r="B485" s="36"/>
      <c r="C485" s="36"/>
      <c r="D485" s="36"/>
      <c r="E485" s="47" t="s">
        <v>50</v>
      </c>
      <c r="F485" s="48">
        <f ca="1">SUM(Table38[MONTO TOTAL ESTIMADO])</f>
        <v>42500</v>
      </c>
    </row>
    <row r="486" spans="1:6" ht="17.25" thickBot="1">
      <c r="A486" s="36"/>
      <c r="B486" s="36"/>
      <c r="C486" s="36"/>
      <c r="D486" s="36"/>
      <c r="E486" s="36"/>
      <c r="F486" s="36"/>
    </row>
    <row r="487" spans="1:6" ht="34.5" thickBot="1">
      <c r="A487" s="1" t="s">
        <v>0</v>
      </c>
      <c r="B487" s="1" t="s">
        <v>1</v>
      </c>
      <c r="C487" s="1" t="s">
        <v>2</v>
      </c>
      <c r="D487" s="1" t="s">
        <v>3</v>
      </c>
      <c r="E487" s="1" t="s">
        <v>4</v>
      </c>
      <c r="F487" s="1" t="s">
        <v>5</v>
      </c>
    </row>
    <row r="488" spans="1:6" ht="15.75" thickBot="1">
      <c r="A488" s="2" t="s">
        <v>144</v>
      </c>
      <c r="B488" s="2" t="s">
        <v>145</v>
      </c>
      <c r="C488" s="2" t="s">
        <v>40</v>
      </c>
      <c r="D488" s="2" t="s">
        <v>62</v>
      </c>
      <c r="E488" s="2" t="s">
        <v>42</v>
      </c>
      <c r="F488" s="2"/>
    </row>
    <row r="489" spans="1:6" ht="15.75" thickBot="1">
      <c r="A489" s="3" t="s">
        <v>11</v>
      </c>
      <c r="B489" s="4" t="s">
        <v>12</v>
      </c>
      <c r="C489" s="37">
        <v>43257</v>
      </c>
      <c r="D489" s="3" t="s">
        <v>13</v>
      </c>
      <c r="E489" s="38" t="s">
        <v>14</v>
      </c>
      <c r="F489" s="39"/>
    </row>
    <row r="490" spans="1:6" ht="15.75" thickBot="1">
      <c r="A490" s="6"/>
      <c r="B490" s="4" t="s">
        <v>15</v>
      </c>
      <c r="C490" s="40">
        <f>IF(C489="","",IF(AND(MONTH(C489)&gt;=1,MONTH(C489)&lt;=3),1,IF(AND(MONTH(C489)&gt;=4,MONTH(C489)&lt;=6),2,IF(AND(MONTH(C489)&gt;=7,MONTH(C489)&lt;=9),3,4))))</f>
        <v>2</v>
      </c>
      <c r="D490" s="6"/>
      <c r="E490" s="38" t="s">
        <v>16</v>
      </c>
      <c r="F490" s="39"/>
    </row>
    <row r="491" spans="1:6" ht="15.75" thickBot="1">
      <c r="A491" s="6"/>
      <c r="B491" s="4" t="s">
        <v>17</v>
      </c>
      <c r="C491" s="37">
        <v>43258</v>
      </c>
      <c r="D491" s="6"/>
      <c r="E491" s="38" t="s">
        <v>18</v>
      </c>
      <c r="F491" s="39"/>
    </row>
    <row r="492" spans="1:6" ht="15.75" thickBot="1">
      <c r="A492" s="6"/>
      <c r="B492" s="4" t="s">
        <v>15</v>
      </c>
      <c r="C492" s="40">
        <f>IF(C491="","",IF(AND(MONTH(C491)&gt;=1,MONTH(C491)&lt;=3),1,IF(AND(MONTH(C491)&gt;=4,MONTH(C491)&lt;=6),2,IF(AND(MONTH(C491)&gt;=7,MONTH(C491)&lt;=9),3,4))))</f>
        <v>2</v>
      </c>
      <c r="D492" s="6"/>
      <c r="E492" s="38" t="s">
        <v>19</v>
      </c>
      <c r="F492" s="39"/>
    </row>
    <row r="493" spans="1:6" ht="17.25" thickBot="1">
      <c r="A493" s="36"/>
      <c r="B493" s="36"/>
      <c r="C493" s="36"/>
      <c r="D493" s="36"/>
      <c r="E493" s="36"/>
      <c r="F493" s="36"/>
    </row>
    <row r="494" spans="1:6" ht="15.75" thickBot="1">
      <c r="A494" s="41" t="s">
        <v>43</v>
      </c>
      <c r="B494" s="41" t="s">
        <v>44</v>
      </c>
      <c r="C494" s="41" t="s">
        <v>45</v>
      </c>
      <c r="D494" s="41" t="s">
        <v>46</v>
      </c>
      <c r="E494" s="41" t="s">
        <v>47</v>
      </c>
      <c r="F494" s="41" t="s">
        <v>48</v>
      </c>
    </row>
    <row r="495" spans="1:6">
      <c r="A495" s="42" t="s">
        <v>146</v>
      </c>
      <c r="B495" s="43" t="str">
        <f ca="1">IFERROR(INDEX(UNSPSCDes,MATCH(INDIRECT(ADDRESS(ROW(),COLUMN()-1,4)),UNSPSCCode,0)),IF(INDIRECT(ADDRESS(ROW(),COLUMN()-1,4))="49101705","Certificados",""))</f>
        <v>Certificados</v>
      </c>
      <c r="C495" s="44" t="str">
        <f>IFERROR(VLOOKUP("UD",'[1]Informacion '!P:Q,2,FALSE),"")</f>
        <v>Unidad</v>
      </c>
      <c r="D495" s="42">
        <v>1</v>
      </c>
      <c r="E495" s="45">
        <v>15000</v>
      </c>
      <c r="F495" s="46">
        <f ca="1">INDIRECT(ADDRESS(ROW(),COLUMN()-2,4))*INDIRECT(ADDRESS(ROW(),COLUMN()-1,4))</f>
        <v>15000</v>
      </c>
    </row>
    <row r="496" spans="1:6" ht="16.5">
      <c r="A496" s="36"/>
      <c r="B496" s="36"/>
      <c r="C496" s="36"/>
      <c r="D496" s="36"/>
      <c r="E496" s="47" t="s">
        <v>50</v>
      </c>
      <c r="F496" s="48">
        <f ca="1">SUM(Table39[MONTO TOTAL ESTIMADO])</f>
        <v>15000</v>
      </c>
    </row>
    <row r="497" spans="1:6" ht="17.25" thickBot="1">
      <c r="A497" s="36"/>
      <c r="B497" s="36"/>
      <c r="C497" s="36"/>
      <c r="D497" s="36"/>
      <c r="E497" s="36"/>
      <c r="F497" s="36"/>
    </row>
    <row r="498" spans="1:6" ht="34.5" thickBot="1">
      <c r="A498" s="1" t="s">
        <v>0</v>
      </c>
      <c r="B498" s="1" t="s">
        <v>1</v>
      </c>
      <c r="C498" s="1" t="s">
        <v>2</v>
      </c>
      <c r="D498" s="1" t="s">
        <v>3</v>
      </c>
      <c r="E498" s="1" t="s">
        <v>4</v>
      </c>
      <c r="F498" s="1" t="s">
        <v>5</v>
      </c>
    </row>
    <row r="499" spans="1:6" ht="15.75" thickBot="1">
      <c r="A499" s="2" t="s">
        <v>147</v>
      </c>
      <c r="B499" s="2" t="s">
        <v>147</v>
      </c>
      <c r="C499" s="2" t="s">
        <v>40</v>
      </c>
      <c r="D499" s="2" t="s">
        <v>53</v>
      </c>
      <c r="E499" s="2" t="s">
        <v>42</v>
      </c>
      <c r="F499" s="2"/>
    </row>
    <row r="500" spans="1:6" ht="15.75" thickBot="1">
      <c r="A500" s="3" t="s">
        <v>11</v>
      </c>
      <c r="B500" s="4" t="s">
        <v>12</v>
      </c>
      <c r="C500" s="37">
        <v>43235</v>
      </c>
      <c r="D500" s="3" t="s">
        <v>13</v>
      </c>
      <c r="E500" s="38" t="s">
        <v>14</v>
      </c>
      <c r="F500" s="39"/>
    </row>
    <row r="501" spans="1:6" ht="15.75" thickBot="1">
      <c r="A501" s="6"/>
      <c r="B501" s="4" t="s">
        <v>15</v>
      </c>
      <c r="C501" s="40">
        <f>IF(C500="","",IF(AND(MONTH(C500)&gt;=1,MONTH(C500)&lt;=3),1,IF(AND(MONTH(C500)&gt;=4,MONTH(C500)&lt;=6),2,IF(AND(MONTH(C500)&gt;=7,MONTH(C500)&lt;=9),3,4))))</f>
        <v>2</v>
      </c>
      <c r="D501" s="6"/>
      <c r="E501" s="38" t="s">
        <v>16</v>
      </c>
      <c r="F501" s="39"/>
    </row>
    <row r="502" spans="1:6" ht="15.75" thickBot="1">
      <c r="A502" s="6"/>
      <c r="B502" s="4" t="s">
        <v>17</v>
      </c>
      <c r="C502" s="37">
        <v>43237</v>
      </c>
      <c r="D502" s="6"/>
      <c r="E502" s="38" t="s">
        <v>18</v>
      </c>
      <c r="F502" s="39"/>
    </row>
    <row r="503" spans="1:6" ht="15.75" thickBot="1">
      <c r="A503" s="6"/>
      <c r="B503" s="4" t="s">
        <v>15</v>
      </c>
      <c r="C503" s="40">
        <f>IF(C502="","",IF(AND(MONTH(C502)&gt;=1,MONTH(C502)&lt;=3),1,IF(AND(MONTH(C502)&gt;=4,MONTH(C502)&lt;=6),2,IF(AND(MONTH(C502)&gt;=7,MONTH(C502)&lt;=9),3,4))))</f>
        <v>2</v>
      </c>
      <c r="D503" s="6"/>
      <c r="E503" s="38" t="s">
        <v>19</v>
      </c>
      <c r="F503" s="39"/>
    </row>
    <row r="504" spans="1:6" ht="17.25" thickBot="1">
      <c r="A504" s="36"/>
      <c r="B504" s="36"/>
      <c r="C504" s="36"/>
      <c r="D504" s="36"/>
      <c r="E504" s="36"/>
      <c r="F504" s="36"/>
    </row>
    <row r="505" spans="1:6" ht="15.75" thickBot="1">
      <c r="A505" s="41" t="s">
        <v>43</v>
      </c>
      <c r="B505" s="41" t="s">
        <v>44</v>
      </c>
      <c r="C505" s="41" t="s">
        <v>45</v>
      </c>
      <c r="D505" s="41" t="s">
        <v>46</v>
      </c>
      <c r="E505" s="41" t="s">
        <v>47</v>
      </c>
      <c r="F505" s="41" t="s">
        <v>48</v>
      </c>
    </row>
    <row r="506" spans="1:6" ht="33.75">
      <c r="A506" s="42" t="s">
        <v>148</v>
      </c>
      <c r="B506" s="43" t="str">
        <f t="shared" ref="B506:B511" ca="1" si="4">IFERROR(INDEX(UNSPSCDes,MATCH(INDIRECT(ADDRESS(ROW(),COLUMN()-1,4)),UNSPSCCode,0)),IF(INDIRECT(ADDRESS(ROW(),COLUMN()-1,4))="44103103","Tóner para impresoras o fax",""))</f>
        <v>Tóner para impresoras o fax</v>
      </c>
      <c r="C506" s="44" t="str">
        <f>IFERROR(VLOOKUP("UD",'[1]Informacion '!P:Q,2,FALSE),"")</f>
        <v>Unidad</v>
      </c>
      <c r="D506" s="42">
        <v>4</v>
      </c>
      <c r="E506" s="45">
        <v>4240</v>
      </c>
      <c r="F506" s="46">
        <f t="shared" ref="F506:F511" ca="1" si="5">INDIRECT(ADDRESS(ROW(),COLUMN()-2,4))*INDIRECT(ADDRESS(ROW(),COLUMN()-1,4))</f>
        <v>16960</v>
      </c>
    </row>
    <row r="507" spans="1:6" ht="33.75">
      <c r="A507" s="42" t="s">
        <v>148</v>
      </c>
      <c r="B507" s="43" t="str">
        <f t="shared" ca="1" si="4"/>
        <v>Tóner para impresoras o fax</v>
      </c>
      <c r="C507" s="44" t="str">
        <f>IFERROR(VLOOKUP("UD",'[1]Informacion '!P:Q,2,FALSE),"")</f>
        <v>Unidad</v>
      </c>
      <c r="D507" s="42">
        <v>4</v>
      </c>
      <c r="E507" s="45">
        <v>12000</v>
      </c>
      <c r="F507" s="46">
        <f t="shared" ca="1" si="5"/>
        <v>48000</v>
      </c>
    </row>
    <row r="508" spans="1:6" ht="33.75">
      <c r="A508" s="42" t="s">
        <v>148</v>
      </c>
      <c r="B508" s="43" t="str">
        <f t="shared" ca="1" si="4"/>
        <v>Tóner para impresoras o fax</v>
      </c>
      <c r="C508" s="44" t="str">
        <f>IFERROR(VLOOKUP("UD",'[1]Informacion '!P:Q,2,FALSE),"")</f>
        <v>Unidad</v>
      </c>
      <c r="D508" s="42">
        <v>4</v>
      </c>
      <c r="E508" s="45">
        <v>12000</v>
      </c>
      <c r="F508" s="46">
        <f t="shared" ca="1" si="5"/>
        <v>48000</v>
      </c>
    </row>
    <row r="509" spans="1:6" ht="33.75">
      <c r="A509" s="42" t="s">
        <v>148</v>
      </c>
      <c r="B509" s="43" t="str">
        <f t="shared" ca="1" si="4"/>
        <v>Tóner para impresoras o fax</v>
      </c>
      <c r="C509" s="44" t="str">
        <f>IFERROR(VLOOKUP("UD",'[1]Informacion '!P:Q,2,FALSE),"")</f>
        <v>Unidad</v>
      </c>
      <c r="D509" s="42">
        <v>4</v>
      </c>
      <c r="E509" s="45">
        <v>12000</v>
      </c>
      <c r="F509" s="46">
        <f t="shared" ca="1" si="5"/>
        <v>48000</v>
      </c>
    </row>
    <row r="510" spans="1:6" ht="33.75">
      <c r="A510" s="42" t="s">
        <v>148</v>
      </c>
      <c r="B510" s="43" t="str">
        <f t="shared" ca="1" si="4"/>
        <v>Tóner para impresoras o fax</v>
      </c>
      <c r="C510" s="44" t="str">
        <f>IFERROR(VLOOKUP("UD",'[1]Informacion '!P:Q,2,FALSE),"")</f>
        <v>Unidad</v>
      </c>
      <c r="D510" s="42">
        <v>4</v>
      </c>
      <c r="E510" s="45">
        <v>3500</v>
      </c>
      <c r="F510" s="46">
        <f t="shared" ca="1" si="5"/>
        <v>14000</v>
      </c>
    </row>
    <row r="511" spans="1:6" ht="33.75">
      <c r="A511" s="42" t="s">
        <v>148</v>
      </c>
      <c r="B511" s="43" t="str">
        <f t="shared" ca="1" si="4"/>
        <v>Tóner para impresoras o fax</v>
      </c>
      <c r="C511" s="44" t="str">
        <f>IFERROR(VLOOKUP("UD",'[1]Informacion '!P:Q,2,FALSE),"")</f>
        <v>Unidad</v>
      </c>
      <c r="D511" s="42">
        <v>1</v>
      </c>
      <c r="E511" s="45">
        <v>9700</v>
      </c>
      <c r="F511" s="46">
        <f t="shared" ca="1" si="5"/>
        <v>9700</v>
      </c>
    </row>
    <row r="512" spans="1:6" ht="16.5">
      <c r="A512" s="36"/>
      <c r="B512" s="36"/>
      <c r="C512" s="36"/>
      <c r="D512" s="36"/>
      <c r="E512" s="47" t="s">
        <v>50</v>
      </c>
      <c r="F512" s="48">
        <f ca="1">SUM(Table40[MONTO TOTAL ESTIMADO])</f>
        <v>184660</v>
      </c>
    </row>
    <row r="513" spans="1:6" ht="17.25" thickBot="1">
      <c r="A513" s="36"/>
      <c r="B513" s="36"/>
      <c r="C513" s="36"/>
      <c r="D513" s="36"/>
      <c r="E513" s="36"/>
      <c r="F513" s="36"/>
    </row>
    <row r="514" spans="1:6" ht="34.5" thickBot="1">
      <c r="A514" s="1" t="s">
        <v>0</v>
      </c>
      <c r="B514" s="1" t="s">
        <v>1</v>
      </c>
      <c r="C514" s="1" t="s">
        <v>2</v>
      </c>
      <c r="D514" s="1" t="s">
        <v>3</v>
      </c>
      <c r="E514" s="1" t="s">
        <v>4</v>
      </c>
      <c r="F514" s="1" t="s">
        <v>5</v>
      </c>
    </row>
    <row r="515" spans="1:6" ht="15.75" thickBot="1">
      <c r="A515" s="2" t="s">
        <v>149</v>
      </c>
      <c r="B515" s="2" t="s">
        <v>150</v>
      </c>
      <c r="C515" s="2" t="s">
        <v>40</v>
      </c>
      <c r="D515" s="2" t="s">
        <v>62</v>
      </c>
      <c r="E515" s="2" t="s">
        <v>42</v>
      </c>
      <c r="F515" s="2"/>
    </row>
    <row r="516" spans="1:6" ht="15.75" thickBot="1">
      <c r="A516" s="3" t="s">
        <v>11</v>
      </c>
      <c r="B516" s="4" t="s">
        <v>12</v>
      </c>
      <c r="C516" s="37">
        <v>43291</v>
      </c>
      <c r="D516" s="3" t="s">
        <v>13</v>
      </c>
      <c r="E516" s="38" t="s">
        <v>14</v>
      </c>
      <c r="F516" s="39"/>
    </row>
    <row r="517" spans="1:6" ht="15.75" thickBot="1">
      <c r="A517" s="6"/>
      <c r="B517" s="4" t="s">
        <v>15</v>
      </c>
      <c r="C517" s="40">
        <f>IF(C516="","",IF(AND(MONTH(C516)&gt;=1,MONTH(C516)&lt;=3),1,IF(AND(MONTH(C516)&gt;=4,MONTH(C516)&lt;=6),2,IF(AND(MONTH(C516)&gt;=7,MONTH(C516)&lt;=9),3,4))))</f>
        <v>3</v>
      </c>
      <c r="D517" s="6"/>
      <c r="E517" s="38" t="s">
        <v>16</v>
      </c>
      <c r="F517" s="39"/>
    </row>
    <row r="518" spans="1:6" ht="15.75" thickBot="1">
      <c r="A518" s="6"/>
      <c r="B518" s="4" t="s">
        <v>17</v>
      </c>
      <c r="C518" s="37">
        <v>43292</v>
      </c>
      <c r="D518" s="6"/>
      <c r="E518" s="38" t="s">
        <v>18</v>
      </c>
      <c r="F518" s="39"/>
    </row>
    <row r="519" spans="1:6" ht="15.75" thickBot="1">
      <c r="A519" s="6"/>
      <c r="B519" s="4" t="s">
        <v>15</v>
      </c>
      <c r="C519" s="40">
        <f>IF(C518="","",IF(AND(MONTH(C518)&gt;=1,MONTH(C518)&lt;=3),1,IF(AND(MONTH(C518)&gt;=4,MONTH(C518)&lt;=6),2,IF(AND(MONTH(C518)&gt;=7,MONTH(C518)&lt;=9),3,4))))</f>
        <v>3</v>
      </c>
      <c r="D519" s="6"/>
      <c r="E519" s="38" t="s">
        <v>19</v>
      </c>
      <c r="F519" s="39"/>
    </row>
    <row r="520" spans="1:6" ht="17.25" thickBot="1">
      <c r="A520" s="36"/>
      <c r="B520" s="36"/>
      <c r="C520" s="36"/>
      <c r="D520" s="36"/>
      <c r="E520" s="36"/>
      <c r="F520" s="36"/>
    </row>
    <row r="521" spans="1:6" ht="15.75" thickBot="1">
      <c r="A521" s="41" t="s">
        <v>43</v>
      </c>
      <c r="B521" s="41" t="s">
        <v>44</v>
      </c>
      <c r="C521" s="41" t="s">
        <v>45</v>
      </c>
      <c r="D521" s="41" t="s">
        <v>46</v>
      </c>
      <c r="E521" s="41" t="s">
        <v>47</v>
      </c>
      <c r="F521" s="41" t="s">
        <v>48</v>
      </c>
    </row>
    <row r="522" spans="1:6">
      <c r="A522" s="42" t="s">
        <v>49</v>
      </c>
      <c r="B522" s="43" t="str">
        <f ca="1">IFERROR(INDEX(UNSPSCDes,MATCH(INDIRECT(ADDRESS(ROW(),COLUMN()-1,4)),UNSPSCCode,0)),IF(INDIRECT(ADDRESS(ROW(),COLUMN()-1,4))="15101506","Gasolina",""))</f>
        <v>Gasolina</v>
      </c>
      <c r="C522" s="44" t="str">
        <f>IFERROR(VLOOKUP("UD",'[1]Informacion '!P:Q,2,FALSE),"")</f>
        <v>Unidad</v>
      </c>
      <c r="D522" s="42">
        <v>35</v>
      </c>
      <c r="E522" s="45">
        <v>1000</v>
      </c>
      <c r="F522" s="46">
        <f ca="1">INDIRECT(ADDRESS(ROW(),COLUMN()-2,4))*INDIRECT(ADDRESS(ROW(),COLUMN()-1,4))</f>
        <v>35000</v>
      </c>
    </row>
    <row r="523" spans="1:6" ht="16.5">
      <c r="A523" s="36"/>
      <c r="B523" s="36"/>
      <c r="C523" s="36"/>
      <c r="D523" s="36"/>
      <c r="E523" s="47" t="s">
        <v>50</v>
      </c>
      <c r="F523" s="48">
        <f ca="1">SUM(Table41[MONTO TOTAL ESTIMADO])</f>
        <v>35000</v>
      </c>
    </row>
    <row r="524" spans="1:6" ht="17.25" thickBot="1">
      <c r="A524" s="36"/>
      <c r="B524" s="36"/>
      <c r="C524" s="36"/>
      <c r="D524" s="36"/>
      <c r="E524" s="36"/>
      <c r="F524" s="36"/>
    </row>
    <row r="525" spans="1:6" ht="34.5" thickBot="1">
      <c r="A525" s="1" t="s">
        <v>0</v>
      </c>
      <c r="B525" s="1" t="s">
        <v>1</v>
      </c>
      <c r="C525" s="1" t="s">
        <v>2</v>
      </c>
      <c r="D525" s="1" t="s">
        <v>3</v>
      </c>
      <c r="E525" s="1" t="s">
        <v>4</v>
      </c>
      <c r="F525" s="1" t="s">
        <v>5</v>
      </c>
    </row>
    <row r="526" spans="1:6" ht="15.75" thickBot="1">
      <c r="A526" s="2" t="s">
        <v>149</v>
      </c>
      <c r="B526" s="2" t="s">
        <v>151</v>
      </c>
      <c r="C526" s="2" t="s">
        <v>40</v>
      </c>
      <c r="D526" s="2" t="s">
        <v>62</v>
      </c>
      <c r="E526" s="2" t="s">
        <v>42</v>
      </c>
      <c r="F526" s="2"/>
    </row>
    <row r="527" spans="1:6" ht="15.75" thickBot="1">
      <c r="A527" s="3" t="s">
        <v>11</v>
      </c>
      <c r="B527" s="4" t="s">
        <v>12</v>
      </c>
      <c r="C527" s="37">
        <v>43320</v>
      </c>
      <c r="D527" s="3" t="s">
        <v>13</v>
      </c>
      <c r="E527" s="38" t="s">
        <v>14</v>
      </c>
      <c r="F527" s="39"/>
    </row>
    <row r="528" spans="1:6" ht="15.75" thickBot="1">
      <c r="A528" s="6"/>
      <c r="B528" s="4" t="s">
        <v>15</v>
      </c>
      <c r="C528" s="40">
        <f>IF(C527="","",IF(AND(MONTH(C527)&gt;=1,MONTH(C527)&lt;=3),1,IF(AND(MONTH(C527)&gt;=4,MONTH(C527)&lt;=6),2,IF(AND(MONTH(C527)&gt;=7,MONTH(C527)&lt;=9),3,4))))</f>
        <v>3</v>
      </c>
      <c r="D528" s="6"/>
      <c r="E528" s="38" t="s">
        <v>16</v>
      </c>
      <c r="F528" s="39"/>
    </row>
    <row r="529" spans="1:6" ht="15.75" thickBot="1">
      <c r="A529" s="6"/>
      <c r="B529" s="4" t="s">
        <v>17</v>
      </c>
      <c r="C529" s="37">
        <v>43321</v>
      </c>
      <c r="D529" s="6"/>
      <c r="E529" s="38" t="s">
        <v>18</v>
      </c>
      <c r="F529" s="39"/>
    </row>
    <row r="530" spans="1:6" ht="15.75" thickBot="1">
      <c r="A530" s="6"/>
      <c r="B530" s="4" t="s">
        <v>15</v>
      </c>
      <c r="C530" s="40">
        <f>IF(C529="","",IF(AND(MONTH(C529)&gt;=1,MONTH(C529)&lt;=3),1,IF(AND(MONTH(C529)&gt;=4,MONTH(C529)&lt;=6),2,IF(AND(MONTH(C529)&gt;=7,MONTH(C529)&lt;=9),3,4))))</f>
        <v>3</v>
      </c>
      <c r="D530" s="6"/>
      <c r="E530" s="38" t="s">
        <v>19</v>
      </c>
      <c r="F530" s="39"/>
    </row>
    <row r="531" spans="1:6" ht="17.25" thickBot="1">
      <c r="A531" s="36"/>
      <c r="B531" s="36"/>
      <c r="C531" s="36"/>
      <c r="D531" s="36"/>
      <c r="E531" s="36"/>
      <c r="F531" s="36"/>
    </row>
    <row r="532" spans="1:6" ht="15.75" thickBot="1">
      <c r="A532" s="41" t="s">
        <v>43</v>
      </c>
      <c r="B532" s="41" t="s">
        <v>44</v>
      </c>
      <c r="C532" s="41" t="s">
        <v>45</v>
      </c>
      <c r="D532" s="41" t="s">
        <v>46</v>
      </c>
      <c r="E532" s="41" t="s">
        <v>47</v>
      </c>
      <c r="F532" s="41" t="s">
        <v>48</v>
      </c>
    </row>
    <row r="533" spans="1:6">
      <c r="A533" s="42" t="s">
        <v>49</v>
      </c>
      <c r="B533" s="43" t="str">
        <f ca="1">IFERROR(INDEX(UNSPSCDes,MATCH(INDIRECT(ADDRESS(ROW(),COLUMN()-1,4)),UNSPSCCode,0)),IF(INDIRECT(ADDRESS(ROW(),COLUMN()-1,4))="15101506","Gasolina",""))</f>
        <v>Gasolina</v>
      </c>
      <c r="C533" s="44" t="str">
        <f>IFERROR(VLOOKUP("UD",'[1]Informacion '!P:Q,2,FALSE),"")</f>
        <v>Unidad</v>
      </c>
      <c r="D533" s="42">
        <v>35</v>
      </c>
      <c r="E533" s="45">
        <v>1000</v>
      </c>
      <c r="F533" s="46">
        <f ca="1">INDIRECT(ADDRESS(ROW(),COLUMN()-2,4))*INDIRECT(ADDRESS(ROW(),COLUMN()-1,4))</f>
        <v>35000</v>
      </c>
    </row>
    <row r="534" spans="1:6" ht="16.5">
      <c r="A534" s="36"/>
      <c r="B534" s="36"/>
      <c r="C534" s="36"/>
      <c r="D534" s="36"/>
      <c r="E534" s="47" t="s">
        <v>50</v>
      </c>
      <c r="F534" s="48">
        <f ca="1">SUM(Table42[MONTO TOTAL ESTIMADO])</f>
        <v>35000</v>
      </c>
    </row>
    <row r="535" spans="1:6" ht="17.25" thickBot="1">
      <c r="A535" s="36"/>
      <c r="B535" s="36"/>
      <c r="C535" s="36"/>
      <c r="D535" s="36"/>
      <c r="E535" s="36"/>
      <c r="F535" s="36"/>
    </row>
    <row r="536" spans="1:6" ht="34.5" thickBot="1">
      <c r="A536" s="1" t="s">
        <v>0</v>
      </c>
      <c r="B536" s="1" t="s">
        <v>1</v>
      </c>
      <c r="C536" s="1" t="s">
        <v>2</v>
      </c>
      <c r="D536" s="1" t="s">
        <v>3</v>
      </c>
      <c r="E536" s="1" t="s">
        <v>4</v>
      </c>
      <c r="F536" s="1" t="s">
        <v>5</v>
      </c>
    </row>
    <row r="537" spans="1:6" ht="15.75" thickBot="1">
      <c r="A537" s="2" t="s">
        <v>152</v>
      </c>
      <c r="B537" s="2" t="s">
        <v>153</v>
      </c>
      <c r="C537" s="2" t="s">
        <v>8</v>
      </c>
      <c r="D537" s="2" t="s">
        <v>62</v>
      </c>
      <c r="E537" s="2" t="s">
        <v>63</v>
      </c>
      <c r="F537" s="2"/>
    </row>
    <row r="538" spans="1:6" ht="15.75" thickBot="1">
      <c r="A538" s="3" t="s">
        <v>11</v>
      </c>
      <c r="B538" s="4" t="s">
        <v>12</v>
      </c>
      <c r="C538" s="37">
        <v>43263</v>
      </c>
      <c r="D538" s="3" t="s">
        <v>13</v>
      </c>
      <c r="E538" s="38" t="s">
        <v>14</v>
      </c>
      <c r="F538" s="39"/>
    </row>
    <row r="539" spans="1:6" ht="15.75" thickBot="1">
      <c r="A539" s="6"/>
      <c r="B539" s="4" t="s">
        <v>15</v>
      </c>
      <c r="C539" s="40">
        <f>IF(C538="","",IF(AND(MONTH(C538)&gt;=1,MONTH(C538)&lt;=3),1,IF(AND(MONTH(C538)&gt;=4,MONTH(C538)&lt;=6),2,IF(AND(MONTH(C538)&gt;=7,MONTH(C538)&lt;=9),3,4))))</f>
        <v>2</v>
      </c>
      <c r="D539" s="6"/>
      <c r="E539" s="38" t="s">
        <v>16</v>
      </c>
      <c r="F539" s="39"/>
    </row>
    <row r="540" spans="1:6" ht="15.75" thickBot="1">
      <c r="A540" s="6"/>
      <c r="B540" s="4" t="s">
        <v>17</v>
      </c>
      <c r="C540" s="37">
        <v>43264</v>
      </c>
      <c r="D540" s="6"/>
      <c r="E540" s="38" t="s">
        <v>18</v>
      </c>
      <c r="F540" s="39"/>
    </row>
    <row r="541" spans="1:6" ht="15.75" thickBot="1">
      <c r="A541" s="6"/>
      <c r="B541" s="4" t="s">
        <v>15</v>
      </c>
      <c r="C541" s="40">
        <f>IF(C540="","",IF(AND(MONTH(C540)&gt;=1,MONTH(C540)&lt;=3),1,IF(AND(MONTH(C540)&gt;=4,MONTH(C540)&lt;=6),2,IF(AND(MONTH(C540)&gt;=7,MONTH(C540)&lt;=9),3,4))))</f>
        <v>2</v>
      </c>
      <c r="D541" s="6"/>
      <c r="E541" s="38" t="s">
        <v>19</v>
      </c>
      <c r="F541" s="39"/>
    </row>
    <row r="542" spans="1:6" ht="17.25" thickBot="1">
      <c r="A542" s="36"/>
      <c r="B542" s="36"/>
      <c r="C542" s="36"/>
      <c r="D542" s="36"/>
      <c r="E542" s="36"/>
      <c r="F542" s="36"/>
    </row>
    <row r="543" spans="1:6" ht="15.75" thickBot="1">
      <c r="A543" s="41" t="s">
        <v>43</v>
      </c>
      <c r="B543" s="41" t="s">
        <v>44</v>
      </c>
      <c r="C543" s="41" t="s">
        <v>45</v>
      </c>
      <c r="D543" s="41" t="s">
        <v>46</v>
      </c>
      <c r="E543" s="41" t="s">
        <v>47</v>
      </c>
      <c r="F543" s="41" t="s">
        <v>48</v>
      </c>
    </row>
    <row r="544" spans="1:6" ht="33.75">
      <c r="A544" s="42" t="s">
        <v>154</v>
      </c>
      <c r="B544" s="43" t="str">
        <f ca="1">IFERROR(INDEX(UNSPSCDes,MATCH(INDIRECT(ADDRESS(ROW(),COLUMN()-1,4)),UNSPSCCode,0)),IF(INDIRECT(ADDRESS(ROW(),COLUMN()-1,4))="50192701","Comidas combinadas frescas",""))</f>
        <v>Comidas combinadas frescas</v>
      </c>
      <c r="C544" s="44" t="str">
        <f>IFERROR(VLOOKUP("UD",'[1]Informacion '!P:Q,2,FALSE),"")</f>
        <v>Unidad</v>
      </c>
      <c r="D544" s="42">
        <v>90</v>
      </c>
      <c r="E544" s="45">
        <v>300</v>
      </c>
      <c r="F544" s="46">
        <f ca="1">INDIRECT(ADDRESS(ROW(),COLUMN()-2,4))*INDIRECT(ADDRESS(ROW(),COLUMN()-1,4))</f>
        <v>27000</v>
      </c>
    </row>
    <row r="545" spans="1:6" ht="16.5">
      <c r="A545" s="36"/>
      <c r="B545" s="36"/>
      <c r="C545" s="36"/>
      <c r="D545" s="36"/>
      <c r="E545" s="47" t="s">
        <v>50</v>
      </c>
      <c r="F545" s="48">
        <f ca="1">SUM(Table43[MONTO TOTAL ESTIMADO])</f>
        <v>27000</v>
      </c>
    </row>
    <row r="546" spans="1:6" ht="17.25" thickBot="1">
      <c r="A546" s="36"/>
      <c r="B546" s="36"/>
      <c r="C546" s="36"/>
      <c r="D546" s="36"/>
      <c r="E546" s="36"/>
      <c r="F546" s="36"/>
    </row>
    <row r="547" spans="1:6" ht="34.5" thickBot="1">
      <c r="A547" s="1" t="s">
        <v>0</v>
      </c>
      <c r="B547" s="1" t="s">
        <v>1</v>
      </c>
      <c r="C547" s="1" t="s">
        <v>2</v>
      </c>
      <c r="D547" s="1" t="s">
        <v>3</v>
      </c>
      <c r="E547" s="1" t="s">
        <v>4</v>
      </c>
      <c r="F547" s="1" t="s">
        <v>5</v>
      </c>
    </row>
    <row r="548" spans="1:6" ht="15.75" thickBot="1">
      <c r="A548" s="2" t="s">
        <v>152</v>
      </c>
      <c r="B548" s="2" t="s">
        <v>153</v>
      </c>
      <c r="C548" s="2" t="s">
        <v>8</v>
      </c>
      <c r="D548" s="2" t="s">
        <v>62</v>
      </c>
      <c r="E548" s="2" t="s">
        <v>63</v>
      </c>
      <c r="F548" s="2"/>
    </row>
    <row r="549" spans="1:6" ht="15.75" thickBot="1">
      <c r="A549" s="3" t="s">
        <v>11</v>
      </c>
      <c r="B549" s="4" t="s">
        <v>12</v>
      </c>
      <c r="C549" s="37">
        <v>43333</v>
      </c>
      <c r="D549" s="3" t="s">
        <v>13</v>
      </c>
      <c r="E549" s="38" t="s">
        <v>14</v>
      </c>
      <c r="F549" s="39"/>
    </row>
    <row r="550" spans="1:6" ht="15.75" thickBot="1">
      <c r="A550" s="6"/>
      <c r="B550" s="4" t="s">
        <v>15</v>
      </c>
      <c r="C550" s="40">
        <f>IF(C549="","",IF(AND(MONTH(C549)&gt;=1,MONTH(C549)&lt;=3),1,IF(AND(MONTH(C549)&gt;=4,MONTH(C549)&lt;=6),2,IF(AND(MONTH(C549)&gt;=7,MONTH(C549)&lt;=9),3,4))))</f>
        <v>3</v>
      </c>
      <c r="D550" s="6"/>
      <c r="E550" s="38" t="s">
        <v>16</v>
      </c>
      <c r="F550" s="39"/>
    </row>
    <row r="551" spans="1:6" ht="15.75" thickBot="1">
      <c r="A551" s="6"/>
      <c r="B551" s="4" t="s">
        <v>17</v>
      </c>
      <c r="C551" s="37">
        <v>43334</v>
      </c>
      <c r="D551" s="6"/>
      <c r="E551" s="38" t="s">
        <v>18</v>
      </c>
      <c r="F551" s="39"/>
    </row>
    <row r="552" spans="1:6" ht="15.75" thickBot="1">
      <c r="A552" s="6"/>
      <c r="B552" s="4" t="s">
        <v>15</v>
      </c>
      <c r="C552" s="40">
        <f>IF(C551="","",IF(AND(MONTH(C551)&gt;=1,MONTH(C551)&lt;=3),1,IF(AND(MONTH(C551)&gt;=4,MONTH(C551)&lt;=6),2,IF(AND(MONTH(C551)&gt;=7,MONTH(C551)&lt;=9),3,4))))</f>
        <v>3</v>
      </c>
      <c r="D552" s="6"/>
      <c r="E552" s="38" t="s">
        <v>19</v>
      </c>
      <c r="F552" s="39"/>
    </row>
    <row r="553" spans="1:6" ht="17.25" thickBot="1">
      <c r="A553" s="36"/>
      <c r="B553" s="36"/>
      <c r="C553" s="36"/>
      <c r="D553" s="36"/>
      <c r="E553" s="36"/>
      <c r="F553" s="36"/>
    </row>
    <row r="554" spans="1:6" ht="15.75" thickBot="1">
      <c r="A554" s="41" t="s">
        <v>43</v>
      </c>
      <c r="B554" s="41" t="s">
        <v>44</v>
      </c>
      <c r="C554" s="41" t="s">
        <v>45</v>
      </c>
      <c r="D554" s="41" t="s">
        <v>46</v>
      </c>
      <c r="E554" s="41" t="s">
        <v>47</v>
      </c>
      <c r="F554" s="41" t="s">
        <v>48</v>
      </c>
    </row>
    <row r="555" spans="1:6" ht="33.75">
      <c r="A555" s="42" t="s">
        <v>154</v>
      </c>
      <c r="B555" s="43" t="str">
        <f ca="1">IFERROR(INDEX(UNSPSCDes,MATCH(INDIRECT(ADDRESS(ROW(),COLUMN()-1,4)),UNSPSCCode,0)),IF(INDIRECT(ADDRESS(ROW(),COLUMN()-1,4))="50192701","Comidas combinadas frescas",""))</f>
        <v>Comidas combinadas frescas</v>
      </c>
      <c r="C555" s="44" t="str">
        <f>IFERROR(VLOOKUP("UD",'[1]Informacion '!P:Q,2,FALSE),"")</f>
        <v>Unidad</v>
      </c>
      <c r="D555" s="42">
        <v>90</v>
      </c>
      <c r="E555" s="45">
        <v>300</v>
      </c>
      <c r="F555" s="46">
        <f ca="1">INDIRECT(ADDRESS(ROW(),COLUMN()-2,4))*INDIRECT(ADDRESS(ROW(),COLUMN()-1,4))</f>
        <v>27000</v>
      </c>
    </row>
    <row r="556" spans="1:6" ht="16.5">
      <c r="A556" s="36"/>
      <c r="B556" s="36"/>
      <c r="C556" s="36"/>
      <c r="D556" s="36"/>
      <c r="E556" s="47" t="s">
        <v>50</v>
      </c>
      <c r="F556" s="48">
        <f ca="1">SUM(Table44[MONTO TOTAL ESTIMADO])</f>
        <v>27000</v>
      </c>
    </row>
    <row r="557" spans="1:6" ht="17.25" thickBot="1">
      <c r="A557" s="36"/>
      <c r="B557" s="36"/>
      <c r="C557" s="36"/>
      <c r="D557" s="36"/>
      <c r="E557" s="36"/>
      <c r="F557" s="36"/>
    </row>
    <row r="558" spans="1:6" ht="34.5" thickBot="1">
      <c r="A558" s="1" t="s">
        <v>0</v>
      </c>
      <c r="B558" s="1" t="s">
        <v>1</v>
      </c>
      <c r="C558" s="1" t="s">
        <v>2</v>
      </c>
      <c r="D558" s="1" t="s">
        <v>3</v>
      </c>
      <c r="E558" s="1" t="s">
        <v>4</v>
      </c>
      <c r="F558" s="1" t="s">
        <v>5</v>
      </c>
    </row>
    <row r="559" spans="1:6" ht="15.75" thickBot="1">
      <c r="A559" s="2" t="s">
        <v>152</v>
      </c>
      <c r="B559" s="2" t="s">
        <v>153</v>
      </c>
      <c r="C559" s="2" t="s">
        <v>8</v>
      </c>
      <c r="D559" s="2" t="s">
        <v>53</v>
      </c>
      <c r="E559" s="2" t="s">
        <v>63</v>
      </c>
      <c r="F559" s="2"/>
    </row>
    <row r="560" spans="1:6" ht="15.75" thickBot="1">
      <c r="A560" s="3" t="s">
        <v>11</v>
      </c>
      <c r="B560" s="4" t="s">
        <v>12</v>
      </c>
      <c r="C560" s="37">
        <v>43375</v>
      </c>
      <c r="D560" s="3" t="s">
        <v>13</v>
      </c>
      <c r="E560" s="38" t="s">
        <v>14</v>
      </c>
      <c r="F560" s="39"/>
    </row>
    <row r="561" spans="1:6" ht="15.75" thickBot="1">
      <c r="A561" s="6"/>
      <c r="B561" s="4" t="s">
        <v>15</v>
      </c>
      <c r="C561" s="40">
        <f>IF(C560="","",IF(AND(MONTH(C560)&gt;=1,MONTH(C560)&lt;=3),1,IF(AND(MONTH(C560)&gt;=4,MONTH(C560)&lt;=6),2,IF(AND(MONTH(C560)&gt;=7,MONTH(C560)&lt;=9),3,4))))</f>
        <v>4</v>
      </c>
      <c r="D561" s="6"/>
      <c r="E561" s="38" t="s">
        <v>16</v>
      </c>
      <c r="F561" s="39"/>
    </row>
    <row r="562" spans="1:6" ht="15.75" thickBot="1">
      <c r="A562" s="6"/>
      <c r="B562" s="4" t="s">
        <v>17</v>
      </c>
      <c r="C562" s="37">
        <v>43377</v>
      </c>
      <c r="D562" s="6"/>
      <c r="E562" s="38" t="s">
        <v>18</v>
      </c>
      <c r="F562" s="39"/>
    </row>
    <row r="563" spans="1:6" ht="15.75" thickBot="1">
      <c r="A563" s="6"/>
      <c r="B563" s="4" t="s">
        <v>15</v>
      </c>
      <c r="C563" s="40">
        <f>IF(C562="","",IF(AND(MONTH(C562)&gt;=1,MONTH(C562)&lt;=3),1,IF(AND(MONTH(C562)&gt;=4,MONTH(C562)&lt;=6),2,IF(AND(MONTH(C562)&gt;=7,MONTH(C562)&lt;=9),3,4))))</f>
        <v>4</v>
      </c>
      <c r="D563" s="6"/>
      <c r="E563" s="38" t="s">
        <v>19</v>
      </c>
      <c r="F563" s="39"/>
    </row>
    <row r="564" spans="1:6" ht="17.25" thickBot="1">
      <c r="A564" s="36"/>
      <c r="B564" s="36"/>
      <c r="C564" s="36"/>
      <c r="D564" s="36"/>
      <c r="E564" s="36"/>
      <c r="F564" s="36"/>
    </row>
    <row r="565" spans="1:6" ht="15.75" thickBot="1">
      <c r="A565" s="41" t="s">
        <v>43</v>
      </c>
      <c r="B565" s="41" t="s">
        <v>44</v>
      </c>
      <c r="C565" s="41" t="s">
        <v>45</v>
      </c>
      <c r="D565" s="41" t="s">
        <v>46</v>
      </c>
      <c r="E565" s="41" t="s">
        <v>47</v>
      </c>
      <c r="F565" s="41" t="s">
        <v>48</v>
      </c>
    </row>
    <row r="566" spans="1:6" ht="33.75">
      <c r="A566" s="42" t="s">
        <v>154</v>
      </c>
      <c r="B566" s="43" t="str">
        <f ca="1">IFERROR(INDEX(UNSPSCDes,MATCH(INDIRECT(ADDRESS(ROW(),COLUMN()-1,4)),UNSPSCCode,0)),IF(INDIRECT(ADDRESS(ROW(),COLUMN()-1,4))="50192701","Comidas combinadas frescas",""))</f>
        <v>Comidas combinadas frescas</v>
      </c>
      <c r="C566" s="44" t="str">
        <f>IFERROR(VLOOKUP("UD",'[1]Informacion '!P:Q,2,FALSE),"")</f>
        <v>Unidad</v>
      </c>
      <c r="D566" s="42">
        <v>1950</v>
      </c>
      <c r="E566" s="45">
        <v>150</v>
      </c>
      <c r="F566" s="46">
        <f ca="1">INDIRECT(ADDRESS(ROW(),COLUMN()-2,4))*INDIRECT(ADDRESS(ROW(),COLUMN()-1,4))</f>
        <v>292500</v>
      </c>
    </row>
    <row r="567" spans="1:6" ht="16.5">
      <c r="A567" s="36"/>
      <c r="B567" s="36"/>
      <c r="C567" s="36"/>
      <c r="D567" s="36"/>
      <c r="E567" s="47" t="s">
        <v>50</v>
      </c>
      <c r="F567" s="48">
        <f ca="1">SUM(Table45[MONTO TOTAL ESTIMADO])</f>
        <v>292500</v>
      </c>
    </row>
    <row r="568" spans="1:6" ht="17.25" thickBot="1">
      <c r="A568" s="36"/>
      <c r="B568" s="36"/>
      <c r="C568" s="36"/>
      <c r="D568" s="36"/>
      <c r="E568" s="36"/>
      <c r="F568" s="36"/>
    </row>
    <row r="569" spans="1:6" ht="34.5" thickBot="1">
      <c r="A569" s="1" t="s">
        <v>0</v>
      </c>
      <c r="B569" s="1" t="s">
        <v>1</v>
      </c>
      <c r="C569" s="1" t="s">
        <v>2</v>
      </c>
      <c r="D569" s="1" t="s">
        <v>3</v>
      </c>
      <c r="E569" s="1" t="s">
        <v>4</v>
      </c>
      <c r="F569" s="1" t="s">
        <v>5</v>
      </c>
    </row>
    <row r="570" spans="1:6" ht="15.75" thickBot="1">
      <c r="A570" s="2" t="s">
        <v>152</v>
      </c>
      <c r="B570" s="2" t="s">
        <v>153</v>
      </c>
      <c r="C570" s="2" t="s">
        <v>8</v>
      </c>
      <c r="D570" s="2" t="s">
        <v>62</v>
      </c>
      <c r="E570" s="2" t="s">
        <v>63</v>
      </c>
      <c r="F570" s="2"/>
    </row>
    <row r="571" spans="1:6" ht="15.75" thickBot="1">
      <c r="A571" s="3" t="s">
        <v>11</v>
      </c>
      <c r="B571" s="4" t="s">
        <v>12</v>
      </c>
      <c r="C571" s="37">
        <v>43410</v>
      </c>
      <c r="D571" s="3" t="s">
        <v>13</v>
      </c>
      <c r="E571" s="38" t="s">
        <v>14</v>
      </c>
      <c r="F571" s="39"/>
    </row>
    <row r="572" spans="1:6" ht="15.75" thickBot="1">
      <c r="A572" s="6"/>
      <c r="B572" s="4" t="s">
        <v>15</v>
      </c>
      <c r="C572" s="40">
        <f>IF(C571="","",IF(AND(MONTH(C571)&gt;=1,MONTH(C571)&lt;=3),1,IF(AND(MONTH(C571)&gt;=4,MONTH(C571)&lt;=6),2,IF(AND(MONTH(C571)&gt;=7,MONTH(C571)&lt;=9),3,4))))</f>
        <v>4</v>
      </c>
      <c r="D572" s="6"/>
      <c r="E572" s="38" t="s">
        <v>16</v>
      </c>
      <c r="F572" s="39"/>
    </row>
    <row r="573" spans="1:6" ht="15.75" thickBot="1">
      <c r="A573" s="6"/>
      <c r="B573" s="4" t="s">
        <v>17</v>
      </c>
      <c r="C573" s="37">
        <v>43411</v>
      </c>
      <c r="D573" s="6"/>
      <c r="E573" s="38" t="s">
        <v>18</v>
      </c>
      <c r="F573" s="39"/>
    </row>
    <row r="574" spans="1:6" ht="15.75" thickBot="1">
      <c r="A574" s="6"/>
      <c r="B574" s="4" t="s">
        <v>15</v>
      </c>
      <c r="C574" s="40">
        <f>IF(C573="","",IF(AND(MONTH(C573)&gt;=1,MONTH(C573)&lt;=3),1,IF(AND(MONTH(C573)&gt;=4,MONTH(C573)&lt;=6),2,IF(AND(MONTH(C573)&gt;=7,MONTH(C573)&lt;=9),3,4))))</f>
        <v>4</v>
      </c>
      <c r="D574" s="6"/>
      <c r="E574" s="38" t="s">
        <v>19</v>
      </c>
      <c r="F574" s="39"/>
    </row>
    <row r="575" spans="1:6" ht="17.25" thickBot="1">
      <c r="A575" s="36"/>
      <c r="B575" s="36"/>
      <c r="C575" s="36"/>
      <c r="D575" s="36"/>
      <c r="E575" s="36"/>
      <c r="F575" s="36"/>
    </row>
    <row r="576" spans="1:6" ht="15.75" thickBot="1">
      <c r="A576" s="41" t="s">
        <v>43</v>
      </c>
      <c r="B576" s="41" t="s">
        <v>44</v>
      </c>
      <c r="C576" s="41" t="s">
        <v>45</v>
      </c>
      <c r="D576" s="41" t="s">
        <v>46</v>
      </c>
      <c r="E576" s="41" t="s">
        <v>47</v>
      </c>
      <c r="F576" s="41" t="s">
        <v>48</v>
      </c>
    </row>
    <row r="577" spans="1:6" ht="33.75">
      <c r="A577" s="42" t="s">
        <v>154</v>
      </c>
      <c r="B577" s="43" t="str">
        <f ca="1">IFERROR(INDEX(UNSPSCDes,MATCH(INDIRECT(ADDRESS(ROW(),COLUMN()-1,4)),UNSPSCCode,0)),IF(INDIRECT(ADDRESS(ROW(),COLUMN()-1,4))="50192701","Comidas combinadas frescas",""))</f>
        <v>Comidas combinadas frescas</v>
      </c>
      <c r="C577" s="44" t="str">
        <f>IFERROR(VLOOKUP("UD",'[1]Informacion '!P:Q,2,FALSE),"")</f>
        <v>Unidad</v>
      </c>
      <c r="D577" s="42">
        <v>90</v>
      </c>
      <c r="E577" s="45">
        <v>300</v>
      </c>
      <c r="F577" s="46">
        <f ca="1">INDIRECT(ADDRESS(ROW(),COLUMN()-2,4))*INDIRECT(ADDRESS(ROW(),COLUMN()-1,4))</f>
        <v>27000</v>
      </c>
    </row>
    <row r="578" spans="1:6" ht="16.5">
      <c r="A578" s="36"/>
      <c r="B578" s="36"/>
      <c r="C578" s="36"/>
      <c r="D578" s="36"/>
      <c r="E578" s="47" t="s">
        <v>50</v>
      </c>
      <c r="F578" s="48">
        <f ca="1">SUM(Table46[MONTO TOTAL ESTIMADO])</f>
        <v>27000</v>
      </c>
    </row>
    <row r="579" spans="1:6" ht="17.25" thickBot="1">
      <c r="A579" s="36"/>
      <c r="B579" s="36"/>
      <c r="C579" s="36"/>
      <c r="D579" s="36"/>
      <c r="E579" s="36"/>
      <c r="F579" s="36"/>
    </row>
    <row r="580" spans="1:6" ht="34.5" thickBot="1">
      <c r="A580" s="1" t="s">
        <v>0</v>
      </c>
      <c r="B580" s="1" t="s">
        <v>1</v>
      </c>
      <c r="C580" s="1" t="s">
        <v>2</v>
      </c>
      <c r="D580" s="1" t="s">
        <v>3</v>
      </c>
      <c r="E580" s="1" t="s">
        <v>4</v>
      </c>
      <c r="F580" s="1" t="s">
        <v>5</v>
      </c>
    </row>
    <row r="581" spans="1:6" ht="15.75" thickBot="1">
      <c r="A581" s="2" t="s">
        <v>152</v>
      </c>
      <c r="B581" s="2" t="s">
        <v>153</v>
      </c>
      <c r="C581" s="2" t="s">
        <v>8</v>
      </c>
      <c r="D581" s="2" t="s">
        <v>53</v>
      </c>
      <c r="E581" s="2" t="s">
        <v>63</v>
      </c>
      <c r="F581" s="2"/>
    </row>
    <row r="582" spans="1:6" ht="15.75" thickBot="1">
      <c r="A582" s="3" t="s">
        <v>11</v>
      </c>
      <c r="B582" s="4" t="s">
        <v>12</v>
      </c>
      <c r="C582" s="37">
        <v>43326</v>
      </c>
      <c r="D582" s="3" t="s">
        <v>13</v>
      </c>
      <c r="E582" s="38" t="s">
        <v>14</v>
      </c>
      <c r="F582" s="39"/>
    </row>
    <row r="583" spans="1:6" ht="15.75" thickBot="1">
      <c r="A583" s="6"/>
      <c r="B583" s="4" t="s">
        <v>15</v>
      </c>
      <c r="C583" s="40">
        <f>IF(C582="","",IF(AND(MONTH(C582)&gt;=1,MONTH(C582)&lt;=3),1,IF(AND(MONTH(C582)&gt;=4,MONTH(C582)&lt;=6),2,IF(AND(MONTH(C582)&gt;=7,MONTH(C582)&lt;=9),3,4))))</f>
        <v>3</v>
      </c>
      <c r="D583" s="6"/>
      <c r="E583" s="38" t="s">
        <v>16</v>
      </c>
      <c r="F583" s="39"/>
    </row>
    <row r="584" spans="1:6" ht="15.75" thickBot="1">
      <c r="A584" s="6"/>
      <c r="B584" s="4" t="s">
        <v>17</v>
      </c>
      <c r="C584" s="37">
        <v>43328</v>
      </c>
      <c r="D584" s="6"/>
      <c r="E584" s="38" t="s">
        <v>18</v>
      </c>
      <c r="F584" s="39"/>
    </row>
    <row r="585" spans="1:6" ht="15.75" thickBot="1">
      <c r="A585" s="6"/>
      <c r="B585" s="4" t="s">
        <v>15</v>
      </c>
      <c r="C585" s="40">
        <f>IF(C584="","",IF(AND(MONTH(C584)&gt;=1,MONTH(C584)&lt;=3),1,IF(AND(MONTH(C584)&gt;=4,MONTH(C584)&lt;=6),2,IF(AND(MONTH(C584)&gt;=7,MONTH(C584)&lt;=9),3,4))))</f>
        <v>3</v>
      </c>
      <c r="D585" s="6"/>
      <c r="E585" s="38" t="s">
        <v>19</v>
      </c>
      <c r="F585" s="39"/>
    </row>
    <row r="586" spans="1:6" ht="17.25" thickBot="1">
      <c r="A586" s="36"/>
      <c r="B586" s="36"/>
      <c r="C586" s="36"/>
      <c r="D586" s="36"/>
      <c r="E586" s="36"/>
      <c r="F586" s="36"/>
    </row>
    <row r="587" spans="1:6" ht="15.75" thickBot="1">
      <c r="A587" s="41" t="s">
        <v>43</v>
      </c>
      <c r="B587" s="41" t="s">
        <v>44</v>
      </c>
      <c r="C587" s="41" t="s">
        <v>45</v>
      </c>
      <c r="D587" s="41" t="s">
        <v>46</v>
      </c>
      <c r="E587" s="41" t="s">
        <v>47</v>
      </c>
      <c r="F587" s="41" t="s">
        <v>48</v>
      </c>
    </row>
    <row r="588" spans="1:6" ht="33.75">
      <c r="A588" s="42" t="s">
        <v>154</v>
      </c>
      <c r="B588" s="43" t="str">
        <f ca="1">IFERROR(INDEX(UNSPSCDes,MATCH(INDIRECT(ADDRESS(ROW(),COLUMN()-1,4)),UNSPSCCode,0)),IF(INDIRECT(ADDRESS(ROW(),COLUMN()-1,4))="50192701","Comidas combinadas frescas",""))</f>
        <v>Comidas combinadas frescas</v>
      </c>
      <c r="C588" s="44" t="str">
        <f>IFERROR(VLOOKUP("UD",'[1]Informacion '!P:Q,2,FALSE),"")</f>
        <v>Unidad</v>
      </c>
      <c r="D588" s="42">
        <v>1950</v>
      </c>
      <c r="E588" s="45">
        <v>150</v>
      </c>
      <c r="F588" s="46">
        <f ca="1">INDIRECT(ADDRESS(ROW(),COLUMN()-2,4))*INDIRECT(ADDRESS(ROW(),COLUMN()-1,4))</f>
        <v>292500</v>
      </c>
    </row>
    <row r="589" spans="1:6" ht="16.5">
      <c r="A589" s="36"/>
      <c r="B589" s="36"/>
      <c r="C589" s="36"/>
      <c r="D589" s="36"/>
      <c r="E589" s="47" t="s">
        <v>50</v>
      </c>
      <c r="F589" s="48">
        <f ca="1">SUM(Table47[MONTO TOTAL ESTIMADO])</f>
        <v>292500</v>
      </c>
    </row>
    <row r="590" spans="1:6" ht="17.25" thickBot="1">
      <c r="A590" s="36"/>
      <c r="B590" s="36"/>
      <c r="C590" s="36"/>
      <c r="D590" s="36"/>
      <c r="E590" s="36"/>
      <c r="F590" s="36"/>
    </row>
    <row r="591" spans="1:6" ht="34.5" thickBot="1">
      <c r="A591" s="1" t="s">
        <v>0</v>
      </c>
      <c r="B591" s="1" t="s">
        <v>1</v>
      </c>
      <c r="C591" s="1" t="s">
        <v>2</v>
      </c>
      <c r="D591" s="1" t="s">
        <v>3</v>
      </c>
      <c r="E591" s="1" t="s">
        <v>4</v>
      </c>
      <c r="F591" s="1" t="s">
        <v>5</v>
      </c>
    </row>
    <row r="592" spans="1:6" ht="15.75" thickBot="1">
      <c r="A592" s="2" t="s">
        <v>152</v>
      </c>
      <c r="B592" s="2" t="s">
        <v>153</v>
      </c>
      <c r="C592" s="2" t="s">
        <v>8</v>
      </c>
      <c r="D592" s="2" t="s">
        <v>53</v>
      </c>
      <c r="E592" s="2" t="s">
        <v>63</v>
      </c>
      <c r="F592" s="2"/>
    </row>
    <row r="593" spans="1:6" ht="15.75" thickBot="1">
      <c r="A593" s="3" t="s">
        <v>11</v>
      </c>
      <c r="B593" s="4" t="s">
        <v>12</v>
      </c>
      <c r="C593" s="37">
        <v>43270</v>
      </c>
      <c r="D593" s="3" t="s">
        <v>13</v>
      </c>
      <c r="E593" s="38" t="s">
        <v>14</v>
      </c>
      <c r="F593" s="39"/>
    </row>
    <row r="594" spans="1:6" ht="15.75" thickBot="1">
      <c r="A594" s="6"/>
      <c r="B594" s="4" t="s">
        <v>15</v>
      </c>
      <c r="C594" s="40">
        <f>IF(C593="","",IF(AND(MONTH(C593)&gt;=1,MONTH(C593)&lt;=3),1,IF(AND(MONTH(C593)&gt;=4,MONTH(C593)&lt;=6),2,IF(AND(MONTH(C593)&gt;=7,MONTH(C593)&lt;=9),3,4))))</f>
        <v>2</v>
      </c>
      <c r="D594" s="6"/>
      <c r="E594" s="38" t="s">
        <v>16</v>
      </c>
      <c r="F594" s="39"/>
    </row>
    <row r="595" spans="1:6" ht="15.75" thickBot="1">
      <c r="A595" s="6"/>
      <c r="B595" s="4" t="s">
        <v>17</v>
      </c>
      <c r="C595" s="37">
        <v>43272</v>
      </c>
      <c r="D595" s="6"/>
      <c r="E595" s="38" t="s">
        <v>18</v>
      </c>
      <c r="F595" s="39"/>
    </row>
    <row r="596" spans="1:6" ht="15.75" thickBot="1">
      <c r="A596" s="6"/>
      <c r="B596" s="4" t="s">
        <v>15</v>
      </c>
      <c r="C596" s="40">
        <f>IF(C595="","",IF(AND(MONTH(C595)&gt;=1,MONTH(C595)&lt;=3),1,IF(AND(MONTH(C595)&gt;=4,MONTH(C595)&lt;=6),2,IF(AND(MONTH(C595)&gt;=7,MONTH(C595)&lt;=9),3,4))))</f>
        <v>2</v>
      </c>
      <c r="D596" s="6"/>
      <c r="E596" s="38" t="s">
        <v>19</v>
      </c>
      <c r="F596" s="39"/>
    </row>
    <row r="597" spans="1:6" ht="17.25" thickBot="1">
      <c r="A597" s="36"/>
      <c r="B597" s="36"/>
      <c r="C597" s="36"/>
      <c r="D597" s="36"/>
      <c r="E597" s="36"/>
      <c r="F597" s="36"/>
    </row>
    <row r="598" spans="1:6" ht="15.75" thickBot="1">
      <c r="A598" s="41" t="s">
        <v>43</v>
      </c>
      <c r="B598" s="41" t="s">
        <v>44</v>
      </c>
      <c r="C598" s="41" t="s">
        <v>45</v>
      </c>
      <c r="D598" s="41" t="s">
        <v>46</v>
      </c>
      <c r="E598" s="41" t="s">
        <v>47</v>
      </c>
      <c r="F598" s="41" t="s">
        <v>48</v>
      </c>
    </row>
    <row r="599" spans="1:6" ht="33.75">
      <c r="A599" s="42" t="s">
        <v>154</v>
      </c>
      <c r="B599" s="43" t="str">
        <f ca="1">IFERROR(INDEX(UNSPSCDes,MATCH(INDIRECT(ADDRESS(ROW(),COLUMN()-1,4)),UNSPSCCode,0)),IF(INDIRECT(ADDRESS(ROW(),COLUMN()-1,4))="50192701","Comidas combinadas frescas",""))</f>
        <v>Comidas combinadas frescas</v>
      </c>
      <c r="C599" s="44" t="str">
        <f>IFERROR(VLOOKUP("UD",'[1]Informacion '!P:Q,2,FALSE),"")</f>
        <v>Unidad</v>
      </c>
      <c r="D599" s="42">
        <v>1950</v>
      </c>
      <c r="E599" s="45">
        <v>150</v>
      </c>
      <c r="F599" s="46">
        <f ca="1">INDIRECT(ADDRESS(ROW(),COLUMN()-2,4))*INDIRECT(ADDRESS(ROW(),COLUMN()-1,4))</f>
        <v>292500</v>
      </c>
    </row>
    <row r="600" spans="1:6" ht="16.5">
      <c r="A600" s="36"/>
      <c r="B600" s="36"/>
      <c r="C600" s="36"/>
      <c r="D600" s="36"/>
      <c r="E600" s="47" t="s">
        <v>50</v>
      </c>
      <c r="F600" s="48">
        <f ca="1">SUM(Table48[MONTO TOTAL ESTIMADO])</f>
        <v>292500</v>
      </c>
    </row>
    <row r="601" spans="1:6" ht="17.25" thickBot="1">
      <c r="A601" s="36"/>
      <c r="B601" s="36"/>
      <c r="C601" s="36"/>
      <c r="D601" s="36"/>
      <c r="E601" s="36"/>
      <c r="F601" s="36"/>
    </row>
    <row r="602" spans="1:6" ht="34.5" thickBot="1">
      <c r="A602" s="1" t="s">
        <v>0</v>
      </c>
      <c r="B602" s="1" t="s">
        <v>1</v>
      </c>
      <c r="C602" s="1" t="s">
        <v>2</v>
      </c>
      <c r="D602" s="1" t="s">
        <v>3</v>
      </c>
      <c r="E602" s="1" t="s">
        <v>4</v>
      </c>
      <c r="F602" s="1" t="s">
        <v>5</v>
      </c>
    </row>
    <row r="603" spans="1:6" ht="15.75" thickBot="1">
      <c r="A603" s="2" t="s">
        <v>155</v>
      </c>
      <c r="B603" s="2" t="s">
        <v>156</v>
      </c>
      <c r="C603" s="2" t="s">
        <v>40</v>
      </c>
      <c r="D603" s="2" t="s">
        <v>62</v>
      </c>
      <c r="E603" s="2" t="s">
        <v>42</v>
      </c>
      <c r="F603" s="2"/>
    </row>
    <row r="604" spans="1:6" ht="15.75" thickBot="1">
      <c r="A604" s="3" t="s">
        <v>11</v>
      </c>
      <c r="B604" s="4" t="s">
        <v>12</v>
      </c>
      <c r="C604" s="37">
        <v>43298</v>
      </c>
      <c r="D604" s="3" t="s">
        <v>13</v>
      </c>
      <c r="E604" s="38" t="s">
        <v>14</v>
      </c>
      <c r="F604" s="39"/>
    </row>
    <row r="605" spans="1:6" ht="15.75" thickBot="1">
      <c r="A605" s="6"/>
      <c r="B605" s="4" t="s">
        <v>15</v>
      </c>
      <c r="C605" s="40">
        <f>IF(C604="","",IF(AND(MONTH(C604)&gt;=1,MONTH(C604)&lt;=3),1,IF(AND(MONTH(C604)&gt;=4,MONTH(C604)&lt;=6),2,IF(AND(MONTH(C604)&gt;=7,MONTH(C604)&lt;=9),3,4))))</f>
        <v>3</v>
      </c>
      <c r="D605" s="6"/>
      <c r="E605" s="38" t="s">
        <v>16</v>
      </c>
      <c r="F605" s="39"/>
    </row>
    <row r="606" spans="1:6" ht="15.75" thickBot="1">
      <c r="A606" s="6"/>
      <c r="B606" s="4" t="s">
        <v>17</v>
      </c>
      <c r="C606" s="37">
        <v>43299</v>
      </c>
      <c r="D606" s="6"/>
      <c r="E606" s="38" t="s">
        <v>18</v>
      </c>
      <c r="F606" s="39"/>
    </row>
    <row r="607" spans="1:6" ht="15.75" thickBot="1">
      <c r="A607" s="6"/>
      <c r="B607" s="4" t="s">
        <v>15</v>
      </c>
      <c r="C607" s="40">
        <f>IF(C606="","",IF(AND(MONTH(C606)&gt;=1,MONTH(C606)&lt;=3),1,IF(AND(MONTH(C606)&gt;=4,MONTH(C606)&lt;=6),2,IF(AND(MONTH(C606)&gt;=7,MONTH(C606)&lt;=9),3,4))))</f>
        <v>3</v>
      </c>
      <c r="D607" s="6"/>
      <c r="E607" s="38" t="s">
        <v>19</v>
      </c>
      <c r="F607" s="39"/>
    </row>
    <row r="608" spans="1:6" ht="17.25" thickBot="1">
      <c r="A608" s="36"/>
      <c r="B608" s="36"/>
      <c r="C608" s="36"/>
      <c r="D608" s="36"/>
      <c r="E608" s="36"/>
      <c r="F608" s="36"/>
    </row>
    <row r="609" spans="1:6" ht="15.75" thickBot="1">
      <c r="A609" s="41" t="s">
        <v>43</v>
      </c>
      <c r="B609" s="41" t="s">
        <v>44</v>
      </c>
      <c r="C609" s="41" t="s">
        <v>45</v>
      </c>
      <c r="D609" s="41" t="s">
        <v>46</v>
      </c>
      <c r="E609" s="41" t="s">
        <v>47</v>
      </c>
      <c r="F609" s="41" t="s">
        <v>48</v>
      </c>
    </row>
    <row r="610" spans="1:6" ht="33.75">
      <c r="A610" s="42" t="s">
        <v>148</v>
      </c>
      <c r="B610" s="43" t="str">
        <f ca="1">IFERROR(INDEX(UNSPSCDes,MATCH(INDIRECT(ADDRESS(ROW(),COLUMN()-1,4)),UNSPSCCode,0)),IF(INDIRECT(ADDRESS(ROW(),COLUMN()-1,4))="44103103","Tóner para impresoras o fax",""))</f>
        <v>Tóner para impresoras o fax</v>
      </c>
      <c r="C610" s="44" t="str">
        <f>IFERROR(VLOOKUP("UD",'[1]Informacion '!P:Q,2,FALSE),"")</f>
        <v>Unidad</v>
      </c>
      <c r="D610" s="42">
        <v>4</v>
      </c>
      <c r="E610" s="45">
        <v>9700</v>
      </c>
      <c r="F610" s="46">
        <f ca="1">INDIRECT(ADDRESS(ROW(),COLUMN()-2,4))*INDIRECT(ADDRESS(ROW(),COLUMN()-1,4))</f>
        <v>38800</v>
      </c>
    </row>
    <row r="611" spans="1:6" ht="16.5">
      <c r="A611" s="36"/>
      <c r="B611" s="36"/>
      <c r="C611" s="36"/>
      <c r="D611" s="36"/>
      <c r="E611" s="47" t="s">
        <v>50</v>
      </c>
      <c r="F611" s="48">
        <f ca="1">SUM(Table49[MONTO TOTAL ESTIMADO])</f>
        <v>38800</v>
      </c>
    </row>
    <row r="612" spans="1:6" ht="17.25" thickBot="1">
      <c r="A612" s="36"/>
      <c r="B612" s="36"/>
      <c r="C612" s="36"/>
      <c r="D612" s="36"/>
      <c r="E612" s="36"/>
      <c r="F612" s="36"/>
    </row>
    <row r="613" spans="1:6" ht="34.5" thickBot="1">
      <c r="A613" s="1" t="s">
        <v>0</v>
      </c>
      <c r="B613" s="1" t="s">
        <v>1</v>
      </c>
      <c r="C613" s="1" t="s">
        <v>2</v>
      </c>
      <c r="D613" s="1" t="s">
        <v>3</v>
      </c>
      <c r="E613" s="1" t="s">
        <v>4</v>
      </c>
      <c r="F613" s="1" t="s">
        <v>5</v>
      </c>
    </row>
    <row r="614" spans="1:6" ht="15.75" thickBot="1">
      <c r="A614" s="2" t="s">
        <v>157</v>
      </c>
      <c r="B614" s="2" t="s">
        <v>156</v>
      </c>
      <c r="C614" s="2" t="s">
        <v>40</v>
      </c>
      <c r="D614" s="2" t="s">
        <v>62</v>
      </c>
      <c r="E614" s="2" t="s">
        <v>42</v>
      </c>
      <c r="F614" s="2"/>
    </row>
    <row r="615" spans="1:6" ht="15.75" thickBot="1">
      <c r="A615" s="3" t="s">
        <v>11</v>
      </c>
      <c r="B615" s="4" t="s">
        <v>12</v>
      </c>
      <c r="C615" s="37">
        <v>43438</v>
      </c>
      <c r="D615" s="3" t="s">
        <v>13</v>
      </c>
      <c r="E615" s="38" t="s">
        <v>14</v>
      </c>
      <c r="F615" s="39"/>
    </row>
    <row r="616" spans="1:6" ht="15.75" thickBot="1">
      <c r="A616" s="6"/>
      <c r="B616" s="4" t="s">
        <v>15</v>
      </c>
      <c r="C616" s="40">
        <f>IF(C615="","",IF(AND(MONTH(C615)&gt;=1,MONTH(C615)&lt;=3),1,IF(AND(MONTH(C615)&gt;=4,MONTH(C615)&lt;=6),2,IF(AND(MONTH(C615)&gt;=7,MONTH(C615)&lt;=9),3,4))))</f>
        <v>4</v>
      </c>
      <c r="D616" s="6"/>
      <c r="E616" s="38" t="s">
        <v>16</v>
      </c>
      <c r="F616" s="39"/>
    </row>
    <row r="617" spans="1:6" ht="15.75" thickBot="1">
      <c r="A617" s="6"/>
      <c r="B617" s="4" t="s">
        <v>17</v>
      </c>
      <c r="C617" s="37">
        <v>43439</v>
      </c>
      <c r="D617" s="6"/>
      <c r="E617" s="38" t="s">
        <v>18</v>
      </c>
      <c r="F617" s="39"/>
    </row>
    <row r="618" spans="1:6" ht="15.75" thickBot="1">
      <c r="A618" s="6"/>
      <c r="B618" s="4" t="s">
        <v>15</v>
      </c>
      <c r="C618" s="40">
        <f>IF(C617="","",IF(AND(MONTH(C617)&gt;=1,MONTH(C617)&lt;=3),1,IF(AND(MONTH(C617)&gt;=4,MONTH(C617)&lt;=6),2,IF(AND(MONTH(C617)&gt;=7,MONTH(C617)&lt;=9),3,4))))</f>
        <v>4</v>
      </c>
      <c r="D618" s="6"/>
      <c r="E618" s="38" t="s">
        <v>19</v>
      </c>
      <c r="F618" s="39"/>
    </row>
    <row r="619" spans="1:6" ht="17.25" thickBot="1">
      <c r="A619" s="36"/>
      <c r="B619" s="36"/>
      <c r="C619" s="36"/>
      <c r="D619" s="36"/>
      <c r="E619" s="36"/>
      <c r="F619" s="36"/>
    </row>
    <row r="620" spans="1:6" ht="15.75" thickBot="1">
      <c r="A620" s="41" t="s">
        <v>43</v>
      </c>
      <c r="B620" s="41" t="s">
        <v>44</v>
      </c>
      <c r="C620" s="41" t="s">
        <v>45</v>
      </c>
      <c r="D620" s="41" t="s">
        <v>46</v>
      </c>
      <c r="E620" s="41" t="s">
        <v>47</v>
      </c>
      <c r="F620" s="41" t="s">
        <v>48</v>
      </c>
    </row>
    <row r="621" spans="1:6" ht="33.75">
      <c r="A621" s="42" t="s">
        <v>148</v>
      </c>
      <c r="B621" s="43" t="str">
        <f ca="1">IFERROR(INDEX(UNSPSCDes,MATCH(INDIRECT(ADDRESS(ROW(),COLUMN()-1,4)),UNSPSCCode,0)),IF(INDIRECT(ADDRESS(ROW(),COLUMN()-1,4))="44103103","Tóner para impresoras o fax",""))</f>
        <v>Tóner para impresoras o fax</v>
      </c>
      <c r="C621" s="44" t="str">
        <f>IFERROR(VLOOKUP("UD",'[1]Informacion '!P:Q,2,FALSE),"")</f>
        <v>Unidad</v>
      </c>
      <c r="D621" s="42">
        <v>4</v>
      </c>
      <c r="E621" s="45">
        <v>9700</v>
      </c>
      <c r="F621" s="46">
        <f ca="1">INDIRECT(ADDRESS(ROW(),COLUMN()-2,4))*INDIRECT(ADDRESS(ROW(),COLUMN()-1,4))</f>
        <v>38800</v>
      </c>
    </row>
    <row r="622" spans="1:6" ht="16.5">
      <c r="A622" s="36"/>
      <c r="B622" s="36"/>
      <c r="C622" s="36"/>
      <c r="D622" s="36"/>
      <c r="E622" s="47" t="s">
        <v>50</v>
      </c>
      <c r="F622" s="48">
        <f ca="1">SUM(Table50[MONTO TOTAL ESTIMADO])</f>
        <v>38800</v>
      </c>
    </row>
    <row r="623" spans="1:6" ht="17.25" thickBot="1">
      <c r="A623" s="36"/>
      <c r="B623" s="36"/>
      <c r="C623" s="36"/>
      <c r="D623" s="36"/>
      <c r="E623" s="36"/>
      <c r="F623" s="36"/>
    </row>
    <row r="624" spans="1:6" ht="34.5" thickBot="1">
      <c r="A624" s="1" t="s">
        <v>0</v>
      </c>
      <c r="B624" s="1" t="s">
        <v>1</v>
      </c>
      <c r="C624" s="1" t="s">
        <v>2</v>
      </c>
      <c r="D624" s="1" t="s">
        <v>3</v>
      </c>
      <c r="E624" s="1" t="s">
        <v>4</v>
      </c>
      <c r="F624" s="1" t="s">
        <v>5</v>
      </c>
    </row>
    <row r="625" spans="1:6" ht="15.75" thickBot="1">
      <c r="A625" s="2" t="s">
        <v>158</v>
      </c>
      <c r="B625" s="2" t="s">
        <v>159</v>
      </c>
      <c r="C625" s="2" t="s">
        <v>8</v>
      </c>
      <c r="D625" s="2" t="s">
        <v>62</v>
      </c>
      <c r="E625" s="2" t="s">
        <v>42</v>
      </c>
      <c r="F625" s="2"/>
    </row>
    <row r="626" spans="1:6" ht="15.75" thickBot="1">
      <c r="A626" s="3" t="s">
        <v>11</v>
      </c>
      <c r="B626" s="4" t="s">
        <v>12</v>
      </c>
      <c r="C626" s="37">
        <v>43333</v>
      </c>
      <c r="D626" s="3" t="s">
        <v>13</v>
      </c>
      <c r="E626" s="38" t="s">
        <v>14</v>
      </c>
      <c r="F626" s="39"/>
    </row>
    <row r="627" spans="1:6" ht="15.75" thickBot="1">
      <c r="A627" s="6"/>
      <c r="B627" s="4" t="s">
        <v>15</v>
      </c>
      <c r="C627" s="40">
        <f>IF(C626="","",IF(AND(MONTH(C626)&gt;=1,MONTH(C626)&lt;=3),1,IF(AND(MONTH(C626)&gt;=4,MONTH(C626)&lt;=6),2,IF(AND(MONTH(C626)&gt;=7,MONTH(C626)&lt;=9),3,4))))</f>
        <v>3</v>
      </c>
      <c r="D627" s="6"/>
      <c r="E627" s="38" t="s">
        <v>16</v>
      </c>
      <c r="F627" s="39"/>
    </row>
    <row r="628" spans="1:6" ht="15.75" thickBot="1">
      <c r="A628" s="6"/>
      <c r="B628" s="4" t="s">
        <v>17</v>
      </c>
      <c r="C628" s="37">
        <v>43334</v>
      </c>
      <c r="D628" s="6"/>
      <c r="E628" s="38" t="s">
        <v>18</v>
      </c>
      <c r="F628" s="39"/>
    </row>
    <row r="629" spans="1:6" ht="15.75" thickBot="1">
      <c r="A629" s="6"/>
      <c r="B629" s="4" t="s">
        <v>15</v>
      </c>
      <c r="C629" s="40">
        <f>IF(C628="","",IF(AND(MONTH(C628)&gt;=1,MONTH(C628)&lt;=3),1,IF(AND(MONTH(C628)&gt;=4,MONTH(C628)&lt;=6),2,IF(AND(MONTH(C628)&gt;=7,MONTH(C628)&lt;=9),3,4))))</f>
        <v>3</v>
      </c>
      <c r="D629" s="6"/>
      <c r="E629" s="38" t="s">
        <v>19</v>
      </c>
      <c r="F629" s="39"/>
    </row>
    <row r="630" spans="1:6" ht="17.25" thickBot="1">
      <c r="A630" s="36"/>
      <c r="B630" s="36"/>
      <c r="C630" s="36"/>
      <c r="D630" s="36"/>
      <c r="E630" s="36"/>
      <c r="F630" s="36"/>
    </row>
    <row r="631" spans="1:6" ht="15.75" thickBot="1">
      <c r="A631" s="41" t="s">
        <v>43</v>
      </c>
      <c r="B631" s="41" t="s">
        <v>44</v>
      </c>
      <c r="C631" s="41" t="s">
        <v>45</v>
      </c>
      <c r="D631" s="41" t="s">
        <v>46</v>
      </c>
      <c r="E631" s="41" t="s">
        <v>47</v>
      </c>
      <c r="F631" s="41" t="s">
        <v>48</v>
      </c>
    </row>
    <row r="632" spans="1:6" ht="22.5">
      <c r="A632" s="42" t="s">
        <v>160</v>
      </c>
      <c r="B632" s="43" t="str">
        <f ca="1">IFERROR(INDEX(UNSPSCDes,MATCH(INDIRECT(ADDRESS(ROW(),COLUMN()-1,4)),UNSPSCCode,0)),IF(INDIRECT(ADDRESS(ROW(),COLUMN()-1,4))="26121607","Cable de fibra óptica",""))</f>
        <v>Cable de fibra óptica</v>
      </c>
      <c r="C632" s="44" t="str">
        <f>IFERROR(VLOOKUP("UD",'[1]Informacion '!P:Q,2,FALSE),"")</f>
        <v>Unidad</v>
      </c>
      <c r="D632" s="42">
        <v>1</v>
      </c>
      <c r="E632" s="45">
        <v>80000</v>
      </c>
      <c r="F632" s="46">
        <f ca="1">INDIRECT(ADDRESS(ROW(),COLUMN()-2,4))*INDIRECT(ADDRESS(ROW(),COLUMN()-1,4))</f>
        <v>80000</v>
      </c>
    </row>
    <row r="633" spans="1:6" ht="16.5">
      <c r="A633" s="36"/>
      <c r="B633" s="36"/>
      <c r="C633" s="36"/>
      <c r="D633" s="36"/>
      <c r="E633" s="47" t="s">
        <v>50</v>
      </c>
      <c r="F633" s="48">
        <f ca="1">SUM(Table51[MONTO TOTAL ESTIMADO])</f>
        <v>80000</v>
      </c>
    </row>
    <row r="634" spans="1:6" ht="17.25" thickBot="1">
      <c r="A634" s="36"/>
      <c r="B634" s="36"/>
      <c r="C634" s="36"/>
      <c r="D634" s="36"/>
      <c r="E634" s="36"/>
      <c r="F634" s="36"/>
    </row>
    <row r="635" spans="1:6" ht="34.5" thickBot="1">
      <c r="A635" s="1" t="s">
        <v>0</v>
      </c>
      <c r="B635" s="1" t="s">
        <v>1</v>
      </c>
      <c r="C635" s="1" t="s">
        <v>2</v>
      </c>
      <c r="D635" s="1" t="s">
        <v>3</v>
      </c>
      <c r="E635" s="1" t="s">
        <v>4</v>
      </c>
      <c r="F635" s="1" t="s">
        <v>5</v>
      </c>
    </row>
    <row r="636" spans="1:6" ht="15.75" thickBot="1">
      <c r="A636" s="2" t="s">
        <v>161</v>
      </c>
      <c r="B636" s="2" t="s">
        <v>162</v>
      </c>
      <c r="C636" s="2" t="s">
        <v>40</v>
      </c>
      <c r="D636" s="2" t="s">
        <v>62</v>
      </c>
      <c r="E636" s="2" t="s">
        <v>42</v>
      </c>
      <c r="F636" s="2"/>
    </row>
    <row r="637" spans="1:6" ht="15.75" thickBot="1">
      <c r="A637" s="3" t="s">
        <v>11</v>
      </c>
      <c r="B637" s="4" t="s">
        <v>12</v>
      </c>
      <c r="C637" s="37">
        <v>43277</v>
      </c>
      <c r="D637" s="3" t="s">
        <v>13</v>
      </c>
      <c r="E637" s="38" t="s">
        <v>14</v>
      </c>
      <c r="F637" s="39"/>
    </row>
    <row r="638" spans="1:6" ht="15.75" thickBot="1">
      <c r="A638" s="6"/>
      <c r="B638" s="4" t="s">
        <v>15</v>
      </c>
      <c r="C638" s="40">
        <f>IF(C637="","",IF(AND(MONTH(C637)&gt;=1,MONTH(C637)&lt;=3),1,IF(AND(MONTH(C637)&gt;=4,MONTH(C637)&lt;=6),2,IF(AND(MONTH(C637)&gt;=7,MONTH(C637)&lt;=9),3,4))))</f>
        <v>2</v>
      </c>
      <c r="D638" s="6"/>
      <c r="E638" s="38" t="s">
        <v>16</v>
      </c>
      <c r="F638" s="39"/>
    </row>
    <row r="639" spans="1:6" ht="15.75" thickBot="1">
      <c r="A639" s="6"/>
      <c r="B639" s="4" t="s">
        <v>17</v>
      </c>
      <c r="C639" s="37">
        <v>43278</v>
      </c>
      <c r="D639" s="6"/>
      <c r="E639" s="38" t="s">
        <v>18</v>
      </c>
      <c r="F639" s="39"/>
    </row>
    <row r="640" spans="1:6" ht="15.75" thickBot="1">
      <c r="A640" s="6"/>
      <c r="B640" s="4" t="s">
        <v>15</v>
      </c>
      <c r="C640" s="40">
        <f>IF(C639="","",IF(AND(MONTH(C639)&gt;=1,MONTH(C639)&lt;=3),1,IF(AND(MONTH(C639)&gt;=4,MONTH(C639)&lt;=6),2,IF(AND(MONTH(C639)&gt;=7,MONTH(C639)&lt;=9),3,4))))</f>
        <v>2</v>
      </c>
      <c r="D640" s="6"/>
      <c r="E640" s="38" t="s">
        <v>19</v>
      </c>
      <c r="F640" s="39"/>
    </row>
    <row r="641" spans="1:6" ht="17.25" thickBot="1">
      <c r="A641" s="36"/>
      <c r="B641" s="36"/>
      <c r="C641" s="36"/>
      <c r="D641" s="36"/>
      <c r="E641" s="36"/>
      <c r="F641" s="36"/>
    </row>
    <row r="642" spans="1:6" ht="15.75" thickBot="1">
      <c r="A642" s="41" t="s">
        <v>43</v>
      </c>
      <c r="B642" s="41" t="s">
        <v>44</v>
      </c>
      <c r="C642" s="41" t="s">
        <v>45</v>
      </c>
      <c r="D642" s="41" t="s">
        <v>46</v>
      </c>
      <c r="E642" s="41" t="s">
        <v>47</v>
      </c>
      <c r="F642" s="41" t="s">
        <v>48</v>
      </c>
    </row>
    <row r="643" spans="1:6" ht="22.5">
      <c r="A643" s="42" t="s">
        <v>163</v>
      </c>
      <c r="B643" s="43" t="str">
        <f ca="1">IFERROR(INDEX(UNSPSCDes,MATCH(INDIRECT(ADDRESS(ROW(),COLUMN()-1,4)),UNSPSCCode,0)),IF(INDIRECT(ADDRESS(ROW(),COLUMN()-1,4))="44103116","Kit para impresora",""))</f>
        <v>Kit para impresora</v>
      </c>
      <c r="C643" s="44" t="str">
        <f>IFERROR(VLOOKUP("UD",'[1]Informacion '!P:Q,2,FALSE),"")</f>
        <v>Unidad</v>
      </c>
      <c r="D643" s="42">
        <v>1</v>
      </c>
      <c r="E643" s="45">
        <v>60000</v>
      </c>
      <c r="F643" s="46">
        <f ca="1">INDIRECT(ADDRESS(ROW(),COLUMN()-2,4))*INDIRECT(ADDRESS(ROW(),COLUMN()-1,4))</f>
        <v>60000</v>
      </c>
    </row>
    <row r="644" spans="1:6" ht="16.5">
      <c r="A644" s="36"/>
      <c r="B644" s="36"/>
      <c r="C644" s="36"/>
      <c r="D644" s="36"/>
      <c r="E644" s="47" t="s">
        <v>50</v>
      </c>
      <c r="F644" s="48">
        <f ca="1">SUM(Table52[MONTO TOTAL ESTIMADO])</f>
        <v>60000</v>
      </c>
    </row>
    <row r="645" spans="1:6" ht="17.25" thickBot="1">
      <c r="A645" s="36"/>
      <c r="B645" s="36"/>
      <c r="C645" s="36"/>
      <c r="D645" s="36"/>
      <c r="E645" s="36"/>
      <c r="F645" s="36"/>
    </row>
    <row r="646" spans="1:6" ht="34.5" thickBot="1">
      <c r="A646" s="1" t="s">
        <v>0</v>
      </c>
      <c r="B646" s="1" t="s">
        <v>1</v>
      </c>
      <c r="C646" s="1" t="s">
        <v>2</v>
      </c>
      <c r="D646" s="1" t="s">
        <v>3</v>
      </c>
      <c r="E646" s="1" t="s">
        <v>4</v>
      </c>
      <c r="F646" s="1" t="s">
        <v>5</v>
      </c>
    </row>
    <row r="647" spans="1:6" ht="15.75" thickBot="1">
      <c r="A647" s="2" t="s">
        <v>164</v>
      </c>
      <c r="B647" s="2" t="s">
        <v>165</v>
      </c>
      <c r="C647" s="2" t="s">
        <v>8</v>
      </c>
      <c r="D647" s="2" t="s">
        <v>62</v>
      </c>
      <c r="E647" s="2" t="s">
        <v>42</v>
      </c>
      <c r="F647" s="2"/>
    </row>
    <row r="648" spans="1:6" ht="15.75" thickBot="1">
      <c r="A648" s="3" t="s">
        <v>11</v>
      </c>
      <c r="B648" s="4" t="s">
        <v>12</v>
      </c>
      <c r="C648" s="37">
        <v>43305</v>
      </c>
      <c r="D648" s="3" t="s">
        <v>13</v>
      </c>
      <c r="E648" s="38" t="s">
        <v>14</v>
      </c>
      <c r="F648" s="39"/>
    </row>
    <row r="649" spans="1:6" ht="15.75" thickBot="1">
      <c r="A649" s="6"/>
      <c r="B649" s="4" t="s">
        <v>15</v>
      </c>
      <c r="C649" s="40">
        <f>IF(C648="","",IF(AND(MONTH(C648)&gt;=1,MONTH(C648)&lt;=3),1,IF(AND(MONTH(C648)&gt;=4,MONTH(C648)&lt;=6),2,IF(AND(MONTH(C648)&gt;=7,MONTH(C648)&lt;=9),3,4))))</f>
        <v>3</v>
      </c>
      <c r="D649" s="6"/>
      <c r="E649" s="38" t="s">
        <v>16</v>
      </c>
      <c r="F649" s="39"/>
    </row>
    <row r="650" spans="1:6" ht="15.75" thickBot="1">
      <c r="A650" s="6"/>
      <c r="B650" s="4" t="s">
        <v>17</v>
      </c>
      <c r="C650" s="37">
        <v>43306</v>
      </c>
      <c r="D650" s="6"/>
      <c r="E650" s="38" t="s">
        <v>18</v>
      </c>
      <c r="F650" s="39"/>
    </row>
    <row r="651" spans="1:6" ht="15.75" thickBot="1">
      <c r="A651" s="6"/>
      <c r="B651" s="4" t="s">
        <v>15</v>
      </c>
      <c r="C651" s="40">
        <f>IF(C650="","",IF(AND(MONTH(C650)&gt;=1,MONTH(C650)&lt;=3),1,IF(AND(MONTH(C650)&gt;=4,MONTH(C650)&lt;=6),2,IF(AND(MONTH(C650)&gt;=7,MONTH(C650)&lt;=9),3,4))))</f>
        <v>3</v>
      </c>
      <c r="D651" s="6"/>
      <c r="E651" s="38" t="s">
        <v>19</v>
      </c>
      <c r="F651" s="39"/>
    </row>
    <row r="652" spans="1:6" ht="17.25" thickBot="1">
      <c r="A652" s="36"/>
      <c r="B652" s="36"/>
      <c r="C652" s="36"/>
      <c r="D652" s="36"/>
      <c r="E652" s="36"/>
      <c r="F652" s="36"/>
    </row>
    <row r="653" spans="1:6" ht="15.75" thickBot="1">
      <c r="A653" s="41" t="s">
        <v>43</v>
      </c>
      <c r="B653" s="41" t="s">
        <v>44</v>
      </c>
      <c r="C653" s="41" t="s">
        <v>45</v>
      </c>
      <c r="D653" s="41" t="s">
        <v>46</v>
      </c>
      <c r="E653" s="41" t="s">
        <v>47</v>
      </c>
      <c r="F653" s="41" t="s">
        <v>48</v>
      </c>
    </row>
    <row r="654" spans="1:6" ht="22.5">
      <c r="A654" s="42" t="s">
        <v>166</v>
      </c>
      <c r="B654" s="43" t="str">
        <f ca="1">IFERROR(INDEX(UNSPSCDes,MATCH(INDIRECT(ADDRESS(ROW(),COLUMN()-1,4)),UNSPSCCode,0)),IF(INDIRECT(ADDRESS(ROW(),COLUMN()-1,4))="45111609","Proyectores multimedia",""))</f>
        <v>Proyectores multimedia</v>
      </c>
      <c r="C654" s="44" t="str">
        <f>IFERROR(VLOOKUP("UD",'[1]Informacion '!P:Q,2,FALSE),"")</f>
        <v>Unidad</v>
      </c>
      <c r="D654" s="42">
        <v>1</v>
      </c>
      <c r="E654" s="45">
        <v>70000</v>
      </c>
      <c r="F654" s="46">
        <f ca="1">INDIRECT(ADDRESS(ROW(),COLUMN()-2,4))*INDIRECT(ADDRESS(ROW(),COLUMN()-1,4))</f>
        <v>70000</v>
      </c>
    </row>
    <row r="655" spans="1:6" ht="16.5">
      <c r="A655" s="36"/>
      <c r="B655" s="36"/>
      <c r="C655" s="36"/>
      <c r="D655" s="36"/>
      <c r="E655" s="47" t="s">
        <v>50</v>
      </c>
      <c r="F655" s="48">
        <f ca="1">SUM(Table53[MONTO TOTAL ESTIMADO])</f>
        <v>70000</v>
      </c>
    </row>
    <row r="656" spans="1:6" ht="17.25" thickBot="1">
      <c r="A656" s="36"/>
      <c r="B656" s="36"/>
      <c r="C656" s="36"/>
      <c r="D656" s="36"/>
      <c r="E656" s="36"/>
      <c r="F656" s="36"/>
    </row>
    <row r="657" spans="1:6" ht="34.5" thickBot="1">
      <c r="A657" s="1" t="s">
        <v>0</v>
      </c>
      <c r="B657" s="1" t="s">
        <v>1</v>
      </c>
      <c r="C657" s="1" t="s">
        <v>2</v>
      </c>
      <c r="D657" s="1" t="s">
        <v>3</v>
      </c>
      <c r="E657" s="1" t="s">
        <v>4</v>
      </c>
      <c r="F657" s="1" t="s">
        <v>5</v>
      </c>
    </row>
    <row r="658" spans="1:6" ht="15.75" thickBot="1">
      <c r="A658" s="2" t="s">
        <v>152</v>
      </c>
      <c r="B658" s="2" t="s">
        <v>153</v>
      </c>
      <c r="C658" s="2" t="s">
        <v>8</v>
      </c>
      <c r="D658" s="2" t="s">
        <v>62</v>
      </c>
      <c r="E658" s="2" t="s">
        <v>63</v>
      </c>
      <c r="F658" s="2"/>
    </row>
    <row r="659" spans="1:6" ht="15.75" thickBot="1">
      <c r="A659" s="3" t="s">
        <v>11</v>
      </c>
      <c r="B659" s="4" t="s">
        <v>12</v>
      </c>
      <c r="C659" s="37">
        <v>43319</v>
      </c>
      <c r="D659" s="3" t="s">
        <v>13</v>
      </c>
      <c r="E659" s="38" t="s">
        <v>14</v>
      </c>
      <c r="F659" s="39"/>
    </row>
    <row r="660" spans="1:6" ht="15.75" thickBot="1">
      <c r="A660" s="6"/>
      <c r="B660" s="4" t="s">
        <v>15</v>
      </c>
      <c r="C660" s="40">
        <f>IF(C659="","",IF(AND(MONTH(C659)&gt;=1,MONTH(C659)&lt;=3),1,IF(AND(MONTH(C659)&gt;=4,MONTH(C659)&lt;=6),2,IF(AND(MONTH(C659)&gt;=7,MONTH(C659)&lt;=9),3,4))))</f>
        <v>3</v>
      </c>
      <c r="D660" s="6"/>
      <c r="E660" s="38" t="s">
        <v>16</v>
      </c>
      <c r="F660" s="39"/>
    </row>
    <row r="661" spans="1:6" ht="15.75" thickBot="1">
      <c r="A661" s="6"/>
      <c r="B661" s="4" t="s">
        <v>17</v>
      </c>
      <c r="C661" s="37">
        <v>43320</v>
      </c>
      <c r="D661" s="6"/>
      <c r="E661" s="38" t="s">
        <v>18</v>
      </c>
      <c r="F661" s="39"/>
    </row>
    <row r="662" spans="1:6" ht="15.75" thickBot="1">
      <c r="A662" s="6"/>
      <c r="B662" s="4" t="s">
        <v>15</v>
      </c>
      <c r="C662" s="40">
        <f>IF(C661="","",IF(AND(MONTH(C661)&gt;=1,MONTH(C661)&lt;=3),1,IF(AND(MONTH(C661)&gt;=4,MONTH(C661)&lt;=6),2,IF(AND(MONTH(C661)&gt;=7,MONTH(C661)&lt;=9),3,4))))</f>
        <v>3</v>
      </c>
      <c r="D662" s="6"/>
      <c r="E662" s="38" t="s">
        <v>19</v>
      </c>
      <c r="F662" s="39"/>
    </row>
    <row r="663" spans="1:6" ht="17.25" thickBot="1">
      <c r="A663" s="36"/>
      <c r="B663" s="36"/>
      <c r="C663" s="36"/>
      <c r="D663" s="36"/>
      <c r="E663" s="36"/>
      <c r="F663" s="36"/>
    </row>
    <row r="664" spans="1:6" ht="15.75" thickBot="1">
      <c r="A664" s="41" t="s">
        <v>43</v>
      </c>
      <c r="B664" s="41" t="s">
        <v>44</v>
      </c>
      <c r="C664" s="41" t="s">
        <v>45</v>
      </c>
      <c r="D664" s="41" t="s">
        <v>46</v>
      </c>
      <c r="E664" s="41" t="s">
        <v>47</v>
      </c>
      <c r="F664" s="41" t="s">
        <v>48</v>
      </c>
    </row>
    <row r="665" spans="1:6" ht="33.75">
      <c r="A665" s="42" t="s">
        <v>154</v>
      </c>
      <c r="B665" s="43" t="str">
        <f ca="1">IFERROR(INDEX(UNSPSCDes,MATCH(INDIRECT(ADDRESS(ROW(),COLUMN()-1,4)),UNSPSCCode,0)),IF(INDIRECT(ADDRESS(ROW(),COLUMN()-1,4))="50192701","Comidas combinadas frescas",""))</f>
        <v>Comidas combinadas frescas</v>
      </c>
      <c r="C665" s="44" t="str">
        <f>IFERROR(VLOOKUP("UD",'[1]Informacion '!P:Q,2,FALSE),"")</f>
        <v>Unidad</v>
      </c>
      <c r="D665" s="42">
        <v>46</v>
      </c>
      <c r="E665" s="45">
        <v>200</v>
      </c>
      <c r="F665" s="46">
        <f ca="1">INDIRECT(ADDRESS(ROW(),COLUMN()-2,4))*INDIRECT(ADDRESS(ROW(),COLUMN()-1,4))</f>
        <v>9200</v>
      </c>
    </row>
    <row r="666" spans="1:6" ht="16.5">
      <c r="A666" s="36"/>
      <c r="B666" s="36"/>
      <c r="C666" s="36"/>
      <c r="D666" s="36"/>
      <c r="E666" s="47" t="s">
        <v>50</v>
      </c>
      <c r="F666" s="48">
        <f ca="1">SUM(Table54[MONTO TOTAL ESTIMADO])</f>
        <v>9200</v>
      </c>
    </row>
    <row r="667" spans="1:6" ht="17.25" thickBot="1">
      <c r="A667" s="36"/>
      <c r="B667" s="36"/>
      <c r="C667" s="36"/>
      <c r="D667" s="36"/>
      <c r="E667" s="36"/>
      <c r="F667" s="36"/>
    </row>
    <row r="668" spans="1:6" ht="34.5" thickBot="1">
      <c r="A668" s="1" t="s">
        <v>0</v>
      </c>
      <c r="B668" s="1" t="s">
        <v>1</v>
      </c>
      <c r="C668" s="1" t="s">
        <v>2</v>
      </c>
      <c r="D668" s="1" t="s">
        <v>3</v>
      </c>
      <c r="E668" s="1" t="s">
        <v>4</v>
      </c>
      <c r="F668" s="1" t="s">
        <v>5</v>
      </c>
    </row>
    <row r="669" spans="1:6" ht="15.75" thickBot="1">
      <c r="A669" s="2" t="s">
        <v>152</v>
      </c>
      <c r="B669" s="2" t="s">
        <v>153</v>
      </c>
      <c r="C669" s="2" t="s">
        <v>8</v>
      </c>
      <c r="D669" s="2" t="s">
        <v>62</v>
      </c>
      <c r="E669" s="2" t="s">
        <v>63</v>
      </c>
      <c r="F669" s="2"/>
    </row>
    <row r="670" spans="1:6" ht="15.75" thickBot="1">
      <c r="A670" s="3" t="s">
        <v>11</v>
      </c>
      <c r="B670" s="4" t="s">
        <v>12</v>
      </c>
      <c r="C670" s="37">
        <v>43438</v>
      </c>
      <c r="D670" s="3" t="s">
        <v>13</v>
      </c>
      <c r="E670" s="38" t="s">
        <v>14</v>
      </c>
      <c r="F670" s="39"/>
    </row>
    <row r="671" spans="1:6" ht="15.75" thickBot="1">
      <c r="A671" s="6"/>
      <c r="B671" s="4" t="s">
        <v>15</v>
      </c>
      <c r="C671" s="40">
        <f>IF(C670="","",IF(AND(MONTH(C670)&gt;=1,MONTH(C670)&lt;=3),1,IF(AND(MONTH(C670)&gt;=4,MONTH(C670)&lt;=6),2,IF(AND(MONTH(C670)&gt;=7,MONTH(C670)&lt;=9),3,4))))</f>
        <v>4</v>
      </c>
      <c r="D671" s="6"/>
      <c r="E671" s="38" t="s">
        <v>16</v>
      </c>
      <c r="F671" s="39"/>
    </row>
    <row r="672" spans="1:6" ht="15.75" thickBot="1">
      <c r="A672" s="6"/>
      <c r="B672" s="4" t="s">
        <v>17</v>
      </c>
      <c r="C672" s="37">
        <v>43439</v>
      </c>
      <c r="D672" s="6"/>
      <c r="E672" s="38" t="s">
        <v>18</v>
      </c>
      <c r="F672" s="39"/>
    </row>
    <row r="673" spans="1:6" ht="15.75" thickBot="1">
      <c r="A673" s="6"/>
      <c r="B673" s="4" t="s">
        <v>15</v>
      </c>
      <c r="C673" s="40">
        <f>IF(C672="","",IF(AND(MONTH(C672)&gt;=1,MONTH(C672)&lt;=3),1,IF(AND(MONTH(C672)&gt;=4,MONTH(C672)&lt;=6),2,IF(AND(MONTH(C672)&gt;=7,MONTH(C672)&lt;=9),3,4))))</f>
        <v>4</v>
      </c>
      <c r="D673" s="6"/>
      <c r="E673" s="38" t="s">
        <v>19</v>
      </c>
      <c r="F673" s="39"/>
    </row>
    <row r="674" spans="1:6" ht="17.25" thickBot="1">
      <c r="A674" s="36"/>
      <c r="B674" s="36"/>
      <c r="C674" s="36"/>
      <c r="D674" s="36"/>
      <c r="E674" s="36"/>
      <c r="F674" s="36"/>
    </row>
    <row r="675" spans="1:6" ht="15.75" thickBot="1">
      <c r="A675" s="41" t="s">
        <v>43</v>
      </c>
      <c r="B675" s="41" t="s">
        <v>44</v>
      </c>
      <c r="C675" s="41" t="s">
        <v>45</v>
      </c>
      <c r="D675" s="41" t="s">
        <v>46</v>
      </c>
      <c r="E675" s="41" t="s">
        <v>47</v>
      </c>
      <c r="F675" s="41" t="s">
        <v>48</v>
      </c>
    </row>
    <row r="676" spans="1:6" ht="33.75">
      <c r="A676" s="42" t="s">
        <v>154</v>
      </c>
      <c r="B676" s="43" t="str">
        <f ca="1">IFERROR(INDEX(UNSPSCDes,MATCH(INDIRECT(ADDRESS(ROW(),COLUMN()-1,4)),UNSPSCCode,0)),IF(INDIRECT(ADDRESS(ROW(),COLUMN()-1,4))="50192701","Comidas combinadas frescas",""))</f>
        <v>Comidas combinadas frescas</v>
      </c>
      <c r="C676" s="44" t="str">
        <f>IFERROR(VLOOKUP("UD",'[1]Informacion '!P:Q,2,FALSE),"")</f>
        <v>Unidad</v>
      </c>
      <c r="D676" s="42">
        <v>46</v>
      </c>
      <c r="E676" s="45">
        <v>250</v>
      </c>
      <c r="F676" s="46">
        <f ca="1">INDIRECT(ADDRESS(ROW(),COLUMN()-2,4))*INDIRECT(ADDRESS(ROW(),COLUMN()-1,4))</f>
        <v>11500</v>
      </c>
    </row>
    <row r="677" spans="1:6" ht="16.5">
      <c r="A677" s="36"/>
      <c r="B677" s="36"/>
      <c r="C677" s="36"/>
      <c r="D677" s="36"/>
      <c r="E677" s="47" t="s">
        <v>50</v>
      </c>
      <c r="F677" s="48">
        <f ca="1">SUM(Table55[MONTO TOTAL ESTIMADO])</f>
        <v>11500</v>
      </c>
    </row>
    <row r="678" spans="1:6" ht="17.25" thickBot="1">
      <c r="A678" s="36"/>
      <c r="B678" s="36"/>
      <c r="C678" s="36"/>
      <c r="D678" s="36"/>
      <c r="E678" s="36"/>
      <c r="F678" s="36"/>
    </row>
    <row r="679" spans="1:6" ht="34.5" thickBot="1">
      <c r="A679" s="1" t="s">
        <v>0</v>
      </c>
      <c r="B679" s="1" t="s">
        <v>1</v>
      </c>
      <c r="C679" s="1" t="s">
        <v>2</v>
      </c>
      <c r="D679" s="1" t="s">
        <v>3</v>
      </c>
      <c r="E679" s="1" t="s">
        <v>4</v>
      </c>
      <c r="F679" s="1" t="s">
        <v>5</v>
      </c>
    </row>
    <row r="680" spans="1:6" ht="15.75" thickBot="1">
      <c r="A680" s="2" t="s">
        <v>167</v>
      </c>
      <c r="B680" s="2" t="s">
        <v>168</v>
      </c>
      <c r="C680" s="2" t="s">
        <v>169</v>
      </c>
      <c r="D680" s="2" t="s">
        <v>53</v>
      </c>
      <c r="E680" s="2" t="s">
        <v>63</v>
      </c>
      <c r="F680" s="2"/>
    </row>
    <row r="681" spans="1:6" ht="15.75" thickBot="1">
      <c r="A681" s="3" t="s">
        <v>11</v>
      </c>
      <c r="B681" s="4" t="s">
        <v>12</v>
      </c>
      <c r="C681" s="37">
        <v>43424</v>
      </c>
      <c r="D681" s="3" t="s">
        <v>13</v>
      </c>
      <c r="E681" s="38" t="s">
        <v>14</v>
      </c>
      <c r="F681" s="39"/>
    </row>
    <row r="682" spans="1:6" ht="15.75" thickBot="1">
      <c r="A682" s="6"/>
      <c r="B682" s="4" t="s">
        <v>15</v>
      </c>
      <c r="C682" s="40">
        <f>IF(C681="","",IF(AND(MONTH(C681)&gt;=1,MONTH(C681)&lt;=3),1,IF(AND(MONTH(C681)&gt;=4,MONTH(C681)&lt;=6),2,IF(AND(MONTH(C681)&gt;=7,MONTH(C681)&lt;=9),3,4))))</f>
        <v>4</v>
      </c>
      <c r="D682" s="6"/>
      <c r="E682" s="38" t="s">
        <v>16</v>
      </c>
      <c r="F682" s="39"/>
    </row>
    <row r="683" spans="1:6" ht="15.75" thickBot="1">
      <c r="A683" s="6"/>
      <c r="B683" s="4" t="s">
        <v>17</v>
      </c>
      <c r="C683" s="37">
        <v>43426</v>
      </c>
      <c r="D683" s="6"/>
      <c r="E683" s="38" t="s">
        <v>18</v>
      </c>
      <c r="F683" s="39"/>
    </row>
    <row r="684" spans="1:6" ht="15.75" thickBot="1">
      <c r="A684" s="6"/>
      <c r="B684" s="4" t="s">
        <v>15</v>
      </c>
      <c r="C684" s="40">
        <f>IF(C683="","",IF(AND(MONTH(C683)&gt;=1,MONTH(C683)&lt;=3),1,IF(AND(MONTH(C683)&gt;=4,MONTH(C683)&lt;=6),2,IF(AND(MONTH(C683)&gt;=7,MONTH(C683)&lt;=9),3,4))))</f>
        <v>4</v>
      </c>
      <c r="D684" s="6"/>
      <c r="E684" s="38" t="s">
        <v>19</v>
      </c>
      <c r="F684" s="39"/>
    </row>
    <row r="685" spans="1:6" ht="17.25" thickBot="1">
      <c r="A685" s="36"/>
      <c r="B685" s="36"/>
      <c r="C685" s="36"/>
      <c r="D685" s="36"/>
      <c r="E685" s="36"/>
      <c r="F685" s="36"/>
    </row>
    <row r="686" spans="1:6" ht="15.75" thickBot="1">
      <c r="A686" s="41" t="s">
        <v>43</v>
      </c>
      <c r="B686" s="41" t="s">
        <v>44</v>
      </c>
      <c r="C686" s="41" t="s">
        <v>45</v>
      </c>
      <c r="D686" s="41" t="s">
        <v>46</v>
      </c>
      <c r="E686" s="41" t="s">
        <v>47</v>
      </c>
      <c r="F686" s="41" t="s">
        <v>48</v>
      </c>
    </row>
    <row r="687" spans="1:6" ht="67.5">
      <c r="A687" s="42" t="s">
        <v>170</v>
      </c>
      <c r="B687" s="43" t="str">
        <f ca="1">IFERROR(INDEX(UNSPSCDes,MATCH(INDIRECT(ADDRESS(ROW(),COLUMN()-1,4)),UNSPSCCode,0)),IF(INDIRECT(ADDRESS(ROW(),COLUMN()-1,4))="86101808","Servicios de formación de recursos humanos para el sector  público",""))</f>
        <v>Servicios de formación de recursos humanos para el sector  público</v>
      </c>
      <c r="C687" s="44" t="str">
        <f>IFERROR(VLOOKUP("UD",'[1]Informacion '!P:Q,2,FALSE),"")</f>
        <v>Unidad</v>
      </c>
      <c r="D687" s="42">
        <v>1</v>
      </c>
      <c r="E687" s="45">
        <v>138000</v>
      </c>
      <c r="F687" s="46">
        <f ca="1">INDIRECT(ADDRESS(ROW(),COLUMN()-2,4))*INDIRECT(ADDRESS(ROW(),COLUMN()-1,4))</f>
        <v>138000</v>
      </c>
    </row>
    <row r="688" spans="1:6" ht="16.5">
      <c r="A688" s="36"/>
      <c r="B688" s="36"/>
      <c r="C688" s="36"/>
      <c r="D688" s="36"/>
      <c r="E688" s="47" t="s">
        <v>50</v>
      </c>
      <c r="F688" s="48">
        <f ca="1">SUM(Table56[MONTO TOTAL ESTIMADO])</f>
        <v>138000</v>
      </c>
    </row>
    <row r="689" spans="1:6" ht="17.25" thickBot="1">
      <c r="A689" s="36"/>
      <c r="B689" s="36"/>
      <c r="C689" s="36"/>
      <c r="D689" s="36"/>
      <c r="E689" s="36"/>
      <c r="F689" s="36"/>
    </row>
    <row r="690" spans="1:6" ht="34.5" thickBot="1">
      <c r="A690" s="1" t="s">
        <v>0</v>
      </c>
      <c r="B690" s="1" t="s">
        <v>1</v>
      </c>
      <c r="C690" s="1" t="s">
        <v>2</v>
      </c>
      <c r="D690" s="1" t="s">
        <v>3</v>
      </c>
      <c r="E690" s="1" t="s">
        <v>4</v>
      </c>
      <c r="F690" s="1" t="s">
        <v>5</v>
      </c>
    </row>
    <row r="691" spans="1:6" ht="15.75" thickBot="1">
      <c r="A691" s="2" t="s">
        <v>171</v>
      </c>
      <c r="B691" s="2" t="s">
        <v>172</v>
      </c>
      <c r="C691" s="2" t="s">
        <v>169</v>
      </c>
      <c r="D691" s="2" t="s">
        <v>53</v>
      </c>
      <c r="E691" s="2" t="s">
        <v>63</v>
      </c>
      <c r="F691" s="2"/>
    </row>
    <row r="692" spans="1:6" ht="15.75" thickBot="1">
      <c r="A692" s="3" t="s">
        <v>11</v>
      </c>
      <c r="B692" s="4" t="s">
        <v>12</v>
      </c>
      <c r="C692" s="37">
        <v>43300</v>
      </c>
      <c r="D692" s="3" t="s">
        <v>13</v>
      </c>
      <c r="E692" s="38" t="s">
        <v>14</v>
      </c>
      <c r="F692" s="39"/>
    </row>
    <row r="693" spans="1:6" ht="15.75" thickBot="1">
      <c r="A693" s="6"/>
      <c r="B693" s="4" t="s">
        <v>15</v>
      </c>
      <c r="C693" s="40">
        <f>IF(C692="","",IF(AND(MONTH(C692)&gt;=1,MONTH(C692)&lt;=3),1,IF(AND(MONTH(C692)&gt;=4,MONTH(C692)&lt;=6),2,IF(AND(MONTH(C692)&gt;=7,MONTH(C692)&lt;=9),3,4))))</f>
        <v>3</v>
      </c>
      <c r="D693" s="6"/>
      <c r="E693" s="38" t="s">
        <v>16</v>
      </c>
      <c r="F693" s="39"/>
    </row>
    <row r="694" spans="1:6" ht="15.75" thickBot="1">
      <c r="A694" s="6"/>
      <c r="B694" s="4" t="s">
        <v>17</v>
      </c>
      <c r="C694" s="37">
        <v>43302</v>
      </c>
      <c r="D694" s="6"/>
      <c r="E694" s="38" t="s">
        <v>18</v>
      </c>
      <c r="F694" s="39"/>
    </row>
    <row r="695" spans="1:6" ht="15.75" thickBot="1">
      <c r="A695" s="6"/>
      <c r="B695" s="4" t="s">
        <v>15</v>
      </c>
      <c r="C695" s="40">
        <f>IF(C694="","",IF(AND(MONTH(C694)&gt;=1,MONTH(C694)&lt;=3),1,IF(AND(MONTH(C694)&gt;=4,MONTH(C694)&lt;=6),2,IF(AND(MONTH(C694)&gt;=7,MONTH(C694)&lt;=9),3,4))))</f>
        <v>3</v>
      </c>
      <c r="D695" s="6"/>
      <c r="E695" s="38" t="s">
        <v>19</v>
      </c>
      <c r="F695" s="39"/>
    </row>
    <row r="696" spans="1:6" ht="17.25" thickBot="1">
      <c r="A696" s="36"/>
      <c r="B696" s="36"/>
      <c r="C696" s="36"/>
      <c r="D696" s="36"/>
      <c r="E696" s="36"/>
      <c r="F696" s="36"/>
    </row>
    <row r="697" spans="1:6" ht="15.75" thickBot="1">
      <c r="A697" s="41" t="s">
        <v>43</v>
      </c>
      <c r="B697" s="41" t="s">
        <v>44</v>
      </c>
      <c r="C697" s="41" t="s">
        <v>45</v>
      </c>
      <c r="D697" s="41" t="s">
        <v>46</v>
      </c>
      <c r="E697" s="41" t="s">
        <v>47</v>
      </c>
      <c r="F697" s="41" t="s">
        <v>48</v>
      </c>
    </row>
    <row r="698" spans="1:6" ht="67.5">
      <c r="A698" s="42" t="s">
        <v>170</v>
      </c>
      <c r="B698" s="43" t="str">
        <f ca="1">IFERROR(INDEX(UNSPSCDes,MATCH(INDIRECT(ADDRESS(ROW(),COLUMN()-1,4)),UNSPSCCode,0)),IF(INDIRECT(ADDRESS(ROW(),COLUMN()-1,4))="86101808","Servicios de formación de recursos humanos para el sector  público",""))</f>
        <v>Servicios de formación de recursos humanos para el sector  público</v>
      </c>
      <c r="C698" s="44" t="str">
        <f>IFERROR(VLOOKUP("UD",'[1]Informacion '!P:Q,2,FALSE),"")</f>
        <v>Unidad</v>
      </c>
      <c r="D698" s="42">
        <v>2</v>
      </c>
      <c r="E698" s="45">
        <v>138000</v>
      </c>
      <c r="F698" s="46">
        <f ca="1">INDIRECT(ADDRESS(ROW(),COLUMN()-2,4))*INDIRECT(ADDRESS(ROW(),COLUMN()-1,4))</f>
        <v>276000</v>
      </c>
    </row>
    <row r="699" spans="1:6" ht="16.5">
      <c r="A699" s="36"/>
      <c r="B699" s="36"/>
      <c r="C699" s="36"/>
      <c r="D699" s="36"/>
      <c r="E699" s="47" t="s">
        <v>50</v>
      </c>
      <c r="F699" s="48">
        <f ca="1">SUM(Table57[MONTO TOTAL ESTIMADO])</f>
        <v>276000</v>
      </c>
    </row>
    <row r="700" spans="1:6" ht="17.25" thickBot="1">
      <c r="A700" s="36"/>
      <c r="B700" s="36"/>
      <c r="C700" s="36"/>
      <c r="D700" s="36"/>
      <c r="E700" s="36"/>
      <c r="F700" s="36"/>
    </row>
    <row r="701" spans="1:6" ht="34.5" thickBot="1">
      <c r="A701" s="1" t="s">
        <v>0</v>
      </c>
      <c r="B701" s="1" t="s">
        <v>1</v>
      </c>
      <c r="C701" s="1" t="s">
        <v>2</v>
      </c>
      <c r="D701" s="1" t="s">
        <v>3</v>
      </c>
      <c r="E701" s="1" t="s">
        <v>4</v>
      </c>
      <c r="F701" s="1" t="s">
        <v>5</v>
      </c>
    </row>
    <row r="702" spans="1:6" ht="15.75" thickBot="1">
      <c r="A702" s="2" t="s">
        <v>173</v>
      </c>
      <c r="B702" s="2" t="s">
        <v>174</v>
      </c>
      <c r="C702" s="2" t="s">
        <v>169</v>
      </c>
      <c r="D702" s="2" t="s">
        <v>53</v>
      </c>
      <c r="E702" s="2" t="s">
        <v>63</v>
      </c>
      <c r="F702" s="2"/>
    </row>
    <row r="703" spans="1:6" ht="15.75" thickBot="1">
      <c r="A703" s="3" t="s">
        <v>11</v>
      </c>
      <c r="B703" s="4" t="s">
        <v>12</v>
      </c>
      <c r="C703" s="37">
        <v>43272</v>
      </c>
      <c r="D703" s="3" t="s">
        <v>13</v>
      </c>
      <c r="E703" s="38" t="s">
        <v>14</v>
      </c>
      <c r="F703" s="39"/>
    </row>
    <row r="704" spans="1:6" ht="15.75" thickBot="1">
      <c r="A704" s="6"/>
      <c r="B704" s="4" t="s">
        <v>15</v>
      </c>
      <c r="C704" s="40">
        <f>IF(C703="","",IF(AND(MONTH(C703)&gt;=1,MONTH(C703)&lt;=3),1,IF(AND(MONTH(C703)&gt;=4,MONTH(C703)&lt;=6),2,IF(AND(MONTH(C703)&gt;=7,MONTH(C703)&lt;=9),3,4))))</f>
        <v>2</v>
      </c>
      <c r="D704" s="6"/>
      <c r="E704" s="38" t="s">
        <v>16</v>
      </c>
      <c r="F704" s="39"/>
    </row>
    <row r="705" spans="1:6" ht="15.75" thickBot="1">
      <c r="A705" s="6"/>
      <c r="B705" s="4" t="s">
        <v>17</v>
      </c>
      <c r="C705" s="37">
        <v>43274</v>
      </c>
      <c r="D705" s="6"/>
      <c r="E705" s="38" t="s">
        <v>18</v>
      </c>
      <c r="F705" s="39"/>
    </row>
    <row r="706" spans="1:6" ht="15.75" thickBot="1">
      <c r="A706" s="6"/>
      <c r="B706" s="4" t="s">
        <v>15</v>
      </c>
      <c r="C706" s="40">
        <f>IF(C705="","",IF(AND(MONTH(C705)&gt;=1,MONTH(C705)&lt;=3),1,IF(AND(MONTH(C705)&gt;=4,MONTH(C705)&lt;=6),2,IF(AND(MONTH(C705)&gt;=7,MONTH(C705)&lt;=9),3,4))))</f>
        <v>2</v>
      </c>
      <c r="D706" s="6"/>
      <c r="E706" s="38" t="s">
        <v>19</v>
      </c>
      <c r="F706" s="39"/>
    </row>
    <row r="707" spans="1:6" ht="17.25" thickBot="1">
      <c r="A707" s="36"/>
      <c r="B707" s="36"/>
      <c r="C707" s="36"/>
      <c r="D707" s="36"/>
      <c r="E707" s="36"/>
      <c r="F707" s="36"/>
    </row>
    <row r="708" spans="1:6" ht="15.75" thickBot="1">
      <c r="A708" s="41" t="s">
        <v>43</v>
      </c>
      <c r="B708" s="41" t="s">
        <v>44</v>
      </c>
      <c r="C708" s="41" t="s">
        <v>45</v>
      </c>
      <c r="D708" s="41" t="s">
        <v>46</v>
      </c>
      <c r="E708" s="41" t="s">
        <v>47</v>
      </c>
      <c r="F708" s="41" t="s">
        <v>48</v>
      </c>
    </row>
    <row r="709" spans="1:6" ht="67.5">
      <c r="A709" s="42" t="s">
        <v>170</v>
      </c>
      <c r="B709" s="43" t="str">
        <f ca="1">IFERROR(INDEX(UNSPSCDes,MATCH(INDIRECT(ADDRESS(ROW(),COLUMN()-1,4)),UNSPSCCode,0)),IF(INDIRECT(ADDRESS(ROW(),COLUMN()-1,4))="86101808","Servicios de formación de recursos humanos para el sector  público",""))</f>
        <v>Servicios de formación de recursos humanos para el sector  público</v>
      </c>
      <c r="C709" s="44" t="str">
        <f>IFERROR(VLOOKUP("UD",'[1]Informacion '!P:Q,2,FALSE),"")</f>
        <v>Unidad</v>
      </c>
      <c r="D709" s="42">
        <v>1</v>
      </c>
      <c r="E709" s="45">
        <v>281400</v>
      </c>
      <c r="F709" s="46">
        <f ca="1">INDIRECT(ADDRESS(ROW(),COLUMN()-2,4))*INDIRECT(ADDRESS(ROW(),COLUMN()-1,4))</f>
        <v>281400</v>
      </c>
    </row>
    <row r="710" spans="1:6" ht="16.5">
      <c r="A710" s="36"/>
      <c r="B710" s="36"/>
      <c r="C710" s="36"/>
      <c r="D710" s="36"/>
      <c r="E710" s="47" t="s">
        <v>50</v>
      </c>
      <c r="F710" s="48">
        <f ca="1">SUM(Table58[MONTO TOTAL ESTIMADO])</f>
        <v>281400</v>
      </c>
    </row>
    <row r="711" spans="1:6" ht="17.25" thickBot="1">
      <c r="A711" s="36"/>
      <c r="B711" s="36"/>
      <c r="C711" s="36"/>
      <c r="D711" s="36"/>
      <c r="E711" s="36"/>
      <c r="F711" s="36"/>
    </row>
    <row r="712" spans="1:6" ht="34.5" thickBot="1">
      <c r="A712" s="1" t="s">
        <v>0</v>
      </c>
      <c r="B712" s="1" t="s">
        <v>1</v>
      </c>
      <c r="C712" s="1" t="s">
        <v>2</v>
      </c>
      <c r="D712" s="1" t="s">
        <v>3</v>
      </c>
      <c r="E712" s="1" t="s">
        <v>4</v>
      </c>
      <c r="F712" s="1" t="s">
        <v>5</v>
      </c>
    </row>
    <row r="713" spans="1:6" ht="15.75" thickBot="1">
      <c r="A713" s="2" t="s">
        <v>83</v>
      </c>
      <c r="B713" s="2" t="s">
        <v>84</v>
      </c>
      <c r="C713" s="2" t="s">
        <v>169</v>
      </c>
      <c r="D713" s="2" t="s">
        <v>80</v>
      </c>
      <c r="E713" s="2" t="s">
        <v>63</v>
      </c>
      <c r="F713" s="2"/>
    </row>
    <row r="714" spans="1:6" ht="15.75" thickBot="1">
      <c r="A714" s="3" t="s">
        <v>11</v>
      </c>
      <c r="B714" s="4" t="s">
        <v>12</v>
      </c>
      <c r="C714" s="37">
        <v>43277</v>
      </c>
      <c r="D714" s="3" t="s">
        <v>13</v>
      </c>
      <c r="E714" s="38" t="s">
        <v>14</v>
      </c>
      <c r="F714" s="39"/>
    </row>
    <row r="715" spans="1:6" ht="15.75" thickBot="1">
      <c r="A715" s="6"/>
      <c r="B715" s="4" t="s">
        <v>15</v>
      </c>
      <c r="C715" s="40">
        <f>IF(C714="","",IF(AND(MONTH(C714)&gt;=1,MONTH(C714)&lt;=3),1,IF(AND(MONTH(C714)&gt;=4,MONTH(C714)&lt;=6),2,IF(AND(MONTH(C714)&gt;=7,MONTH(C714)&lt;=9),3,4))))</f>
        <v>2</v>
      </c>
      <c r="D715" s="6"/>
      <c r="E715" s="38" t="s">
        <v>16</v>
      </c>
      <c r="F715" s="39"/>
    </row>
    <row r="716" spans="1:6" ht="15.75" thickBot="1">
      <c r="A716" s="6"/>
      <c r="B716" s="4" t="s">
        <v>17</v>
      </c>
      <c r="C716" s="37">
        <v>43281</v>
      </c>
      <c r="D716" s="6"/>
      <c r="E716" s="38" t="s">
        <v>18</v>
      </c>
      <c r="F716" s="39"/>
    </row>
    <row r="717" spans="1:6" ht="15.75" thickBot="1">
      <c r="A717" s="6"/>
      <c r="B717" s="4" t="s">
        <v>15</v>
      </c>
      <c r="C717" s="40">
        <f>IF(C716="","",IF(AND(MONTH(C716)&gt;=1,MONTH(C716)&lt;=3),1,IF(AND(MONTH(C716)&gt;=4,MONTH(C716)&lt;=6),2,IF(AND(MONTH(C716)&gt;=7,MONTH(C716)&lt;=9),3,4))))</f>
        <v>2</v>
      </c>
      <c r="D717" s="6"/>
      <c r="E717" s="38" t="s">
        <v>19</v>
      </c>
      <c r="F717" s="39"/>
    </row>
    <row r="718" spans="1:6" ht="17.25" thickBot="1">
      <c r="A718" s="36"/>
      <c r="B718" s="36"/>
      <c r="C718" s="36"/>
      <c r="D718" s="36"/>
      <c r="E718" s="36"/>
      <c r="F718" s="36"/>
    </row>
    <row r="719" spans="1:6" ht="15.75" thickBot="1">
      <c r="A719" s="41" t="s">
        <v>43</v>
      </c>
      <c r="B719" s="41" t="s">
        <v>44</v>
      </c>
      <c r="C719" s="41" t="s">
        <v>45</v>
      </c>
      <c r="D719" s="41" t="s">
        <v>46</v>
      </c>
      <c r="E719" s="41" t="s">
        <v>47</v>
      </c>
      <c r="F719" s="41" t="s">
        <v>48</v>
      </c>
    </row>
    <row r="720" spans="1:6" ht="67.5">
      <c r="A720" s="42" t="s">
        <v>170</v>
      </c>
      <c r="B720" s="43" t="str">
        <f ca="1">IFERROR(INDEX(UNSPSCDes,MATCH(INDIRECT(ADDRESS(ROW(),COLUMN()-1,4)),UNSPSCCode,0)),IF(INDIRECT(ADDRESS(ROW(),COLUMN()-1,4))="86101808","Servicios de formación de recursos humanos para el sector  público",""))</f>
        <v>Servicios de formación de recursos humanos para el sector  público</v>
      </c>
      <c r="C720" s="44" t="str">
        <f>IFERROR(VLOOKUP("UD",'[1]Informacion '!P:Q,2,FALSE),"")</f>
        <v>Unidad</v>
      </c>
      <c r="D720" s="42">
        <v>1</v>
      </c>
      <c r="E720" s="45">
        <v>528000</v>
      </c>
      <c r="F720" s="46">
        <f ca="1">INDIRECT(ADDRESS(ROW(),COLUMN()-2,4))*INDIRECT(ADDRESS(ROW(),COLUMN()-1,4))</f>
        <v>528000</v>
      </c>
    </row>
    <row r="721" spans="1:6" ht="16.5">
      <c r="A721" s="36"/>
      <c r="B721" s="36"/>
      <c r="C721" s="36"/>
      <c r="D721" s="36"/>
      <c r="E721" s="47" t="s">
        <v>50</v>
      </c>
      <c r="F721" s="48">
        <f ca="1">SUM(Table59[MONTO TOTAL ESTIMADO])</f>
        <v>528000</v>
      </c>
    </row>
    <row r="722" spans="1:6" ht="17.25" thickBot="1">
      <c r="A722" s="36"/>
      <c r="B722" s="36"/>
      <c r="C722" s="36"/>
      <c r="D722" s="36"/>
      <c r="E722" s="36"/>
      <c r="F722" s="36"/>
    </row>
    <row r="723" spans="1:6" ht="34.5" thickBot="1">
      <c r="A723" s="1" t="s">
        <v>0</v>
      </c>
      <c r="B723" s="1" t="s">
        <v>1</v>
      </c>
      <c r="C723" s="1" t="s">
        <v>2</v>
      </c>
      <c r="D723" s="1" t="s">
        <v>3</v>
      </c>
      <c r="E723" s="1" t="s">
        <v>4</v>
      </c>
      <c r="F723" s="1" t="s">
        <v>5</v>
      </c>
    </row>
    <row r="724" spans="1:6" ht="15.75" thickBot="1">
      <c r="A724" s="2" t="s">
        <v>175</v>
      </c>
      <c r="B724" s="2" t="s">
        <v>176</v>
      </c>
      <c r="C724" s="2" t="s">
        <v>169</v>
      </c>
      <c r="D724" s="2" t="s">
        <v>53</v>
      </c>
      <c r="E724" s="2" t="s">
        <v>63</v>
      </c>
      <c r="F724" s="2"/>
    </row>
    <row r="725" spans="1:6" ht="15.75" thickBot="1">
      <c r="A725" s="3" t="s">
        <v>11</v>
      </c>
      <c r="B725" s="4" t="s">
        <v>12</v>
      </c>
      <c r="C725" s="37">
        <v>43242</v>
      </c>
      <c r="D725" s="3" t="s">
        <v>13</v>
      </c>
      <c r="E725" s="38" t="s">
        <v>14</v>
      </c>
      <c r="F725" s="39"/>
    </row>
    <row r="726" spans="1:6" ht="15.75" thickBot="1">
      <c r="A726" s="6"/>
      <c r="B726" s="4" t="s">
        <v>15</v>
      </c>
      <c r="C726" s="40">
        <f>IF(C725="","",IF(AND(MONTH(C725)&gt;=1,MONTH(C725)&lt;=3),1,IF(AND(MONTH(C725)&gt;=4,MONTH(C725)&lt;=6),2,IF(AND(MONTH(C725)&gt;=7,MONTH(C725)&lt;=9),3,4))))</f>
        <v>2</v>
      </c>
      <c r="D726" s="6"/>
      <c r="E726" s="38" t="s">
        <v>16</v>
      </c>
      <c r="F726" s="39"/>
    </row>
    <row r="727" spans="1:6" ht="15.75" thickBot="1">
      <c r="A727" s="6"/>
      <c r="B727" s="4" t="s">
        <v>17</v>
      </c>
      <c r="C727" s="37">
        <v>43244</v>
      </c>
      <c r="D727" s="6"/>
      <c r="E727" s="38" t="s">
        <v>18</v>
      </c>
      <c r="F727" s="39"/>
    </row>
    <row r="728" spans="1:6" ht="15.75" thickBot="1">
      <c r="A728" s="6"/>
      <c r="B728" s="4" t="s">
        <v>15</v>
      </c>
      <c r="C728" s="40">
        <f>IF(C727="","",IF(AND(MONTH(C727)&gt;=1,MONTH(C727)&lt;=3),1,IF(AND(MONTH(C727)&gt;=4,MONTH(C727)&lt;=6),2,IF(AND(MONTH(C727)&gt;=7,MONTH(C727)&lt;=9),3,4))))</f>
        <v>2</v>
      </c>
      <c r="D728" s="6"/>
      <c r="E728" s="38" t="s">
        <v>19</v>
      </c>
      <c r="F728" s="39"/>
    </row>
    <row r="729" spans="1:6" ht="17.25" thickBot="1">
      <c r="A729" s="36"/>
      <c r="B729" s="36"/>
      <c r="C729" s="36"/>
      <c r="D729" s="36"/>
      <c r="E729" s="36"/>
      <c r="F729" s="36"/>
    </row>
    <row r="730" spans="1:6" ht="15.75" thickBot="1">
      <c r="A730" s="41" t="s">
        <v>43</v>
      </c>
      <c r="B730" s="41" t="s">
        <v>44</v>
      </c>
      <c r="C730" s="41" t="s">
        <v>45</v>
      </c>
      <c r="D730" s="41" t="s">
        <v>46</v>
      </c>
      <c r="E730" s="41" t="s">
        <v>47</v>
      </c>
      <c r="F730" s="41" t="s">
        <v>48</v>
      </c>
    </row>
    <row r="731" spans="1:6" ht="67.5">
      <c r="A731" s="42" t="s">
        <v>170</v>
      </c>
      <c r="B731" s="43" t="str">
        <f ca="1">IFERROR(INDEX(UNSPSCDes,MATCH(INDIRECT(ADDRESS(ROW(),COLUMN()-1,4)),UNSPSCCode,0)),IF(INDIRECT(ADDRESS(ROW(),COLUMN()-1,4))="86101808","Servicios de formación de recursos humanos para el sector  público",""))</f>
        <v>Servicios de formación de recursos humanos para el sector  público</v>
      </c>
      <c r="C731" s="44" t="str">
        <f>IFERROR(VLOOKUP("UD",'[1]Informacion '!P:Q,2,FALSE),"")</f>
        <v>Unidad</v>
      </c>
      <c r="D731" s="42">
        <v>1</v>
      </c>
      <c r="E731" s="45">
        <v>152475</v>
      </c>
      <c r="F731" s="46">
        <f ca="1">INDIRECT(ADDRESS(ROW(),COLUMN()-2,4))*INDIRECT(ADDRESS(ROW(),COLUMN()-1,4))</f>
        <v>152475</v>
      </c>
    </row>
    <row r="732" spans="1:6" ht="33.75">
      <c r="A732" s="42">
        <v>86141501</v>
      </c>
      <c r="B732" s="43" t="str">
        <f ca="1">IFERROR(INDEX(UNSPSCDes,MATCH(INDIRECT(ADDRESS(ROW(),COLUMN()-1,4)),UNSPSCCode,0)),IF(INDIRECT(ADDRESS(ROW(),COLUMN()-1,4))="86101808","Servicios de formación de recursos humanos para el sector  público",""))</f>
        <v>Servicios de asesorías educativas</v>
      </c>
      <c r="C732" s="44" t="str">
        <f>IFERROR(VLOOKUP("UD",'[1]Informacion '!P:Q,2,FALSE),"")</f>
        <v>Unidad</v>
      </c>
      <c r="D732" s="42">
        <v>1</v>
      </c>
      <c r="E732" s="45">
        <v>610450</v>
      </c>
      <c r="F732" s="46">
        <f ca="1">INDIRECT(ADDRESS(ROW(),COLUMN()-2,4))*INDIRECT(ADDRESS(ROW(),COLUMN()-1,4))</f>
        <v>610450</v>
      </c>
    </row>
    <row r="733" spans="1:6" ht="16.5">
      <c r="A733" s="36"/>
      <c r="B733" s="36"/>
      <c r="C733" s="36"/>
      <c r="D733" s="36"/>
      <c r="E733" s="47" t="s">
        <v>50</v>
      </c>
      <c r="F733" s="48">
        <f ca="1">SUM(Table60[MONTO TOTAL ESTIMADO])</f>
        <v>762925</v>
      </c>
    </row>
    <row r="734" spans="1:6" ht="17.25" thickBot="1">
      <c r="A734" s="36"/>
      <c r="B734" s="36"/>
      <c r="C734" s="36"/>
      <c r="D734" s="36"/>
      <c r="E734" s="36"/>
      <c r="F734" s="36"/>
    </row>
    <row r="735" spans="1:6" ht="34.5" thickBot="1">
      <c r="A735" s="1" t="s">
        <v>0</v>
      </c>
      <c r="B735" s="1" t="s">
        <v>1</v>
      </c>
      <c r="C735" s="1" t="s">
        <v>2</v>
      </c>
      <c r="D735" s="1" t="s">
        <v>3</v>
      </c>
      <c r="E735" s="1" t="s">
        <v>4</v>
      </c>
      <c r="F735" s="1" t="s">
        <v>5</v>
      </c>
    </row>
    <row r="736" spans="1:6" ht="15.75" thickBot="1">
      <c r="A736" s="2" t="s">
        <v>177</v>
      </c>
      <c r="B736" s="2" t="s">
        <v>178</v>
      </c>
      <c r="C736" s="2" t="s">
        <v>40</v>
      </c>
      <c r="D736" s="2" t="s">
        <v>41</v>
      </c>
      <c r="E736" s="2" t="s">
        <v>42</v>
      </c>
      <c r="F736" s="2"/>
    </row>
    <row r="737" spans="1:6" ht="15.75" thickBot="1">
      <c r="A737" s="3" t="s">
        <v>11</v>
      </c>
      <c r="B737" s="4" t="s">
        <v>12</v>
      </c>
      <c r="C737" s="37">
        <v>43214</v>
      </c>
      <c r="D737" s="3" t="s">
        <v>13</v>
      </c>
      <c r="E737" s="38" t="s">
        <v>14</v>
      </c>
      <c r="F737" s="39"/>
    </row>
    <row r="738" spans="1:6" ht="15.75" thickBot="1">
      <c r="A738" s="6"/>
      <c r="B738" s="4" t="s">
        <v>15</v>
      </c>
      <c r="C738" s="40">
        <f>IF(C737="","",IF(AND(MONTH(C737)&gt;=1,MONTH(C737)&lt;=3),1,IF(AND(MONTH(C737)&gt;=4,MONTH(C737)&lt;=6),2,IF(AND(MONTH(C737)&gt;=7,MONTH(C737)&lt;=9),3,4))))</f>
        <v>2</v>
      </c>
      <c r="D738" s="6"/>
      <c r="E738" s="38" t="s">
        <v>16</v>
      </c>
      <c r="F738" s="39"/>
    </row>
    <row r="739" spans="1:6" ht="15.75" thickBot="1">
      <c r="A739" s="6"/>
      <c r="B739" s="4" t="s">
        <v>17</v>
      </c>
      <c r="C739" s="37">
        <v>43215</v>
      </c>
      <c r="D739" s="6"/>
      <c r="E739" s="38" t="s">
        <v>18</v>
      </c>
      <c r="F739" s="39"/>
    </row>
    <row r="740" spans="1:6" ht="15.75" thickBot="1">
      <c r="A740" s="6"/>
      <c r="B740" s="4" t="s">
        <v>15</v>
      </c>
      <c r="C740" s="40">
        <f>IF(C739="","",IF(AND(MONTH(C739)&gt;=1,MONTH(C739)&lt;=3),1,IF(AND(MONTH(C739)&gt;=4,MONTH(C739)&lt;=6),2,IF(AND(MONTH(C739)&gt;=7,MONTH(C739)&lt;=9),3,4))))</f>
        <v>2</v>
      </c>
      <c r="D740" s="6"/>
      <c r="E740" s="38" t="s">
        <v>19</v>
      </c>
      <c r="F740" s="39"/>
    </row>
    <row r="741" spans="1:6" ht="17.25" thickBot="1">
      <c r="A741" s="36"/>
      <c r="B741" s="36"/>
      <c r="C741" s="36"/>
      <c r="D741" s="36"/>
      <c r="E741" s="36"/>
      <c r="F741" s="36"/>
    </row>
    <row r="742" spans="1:6" ht="15.75" thickBot="1">
      <c r="A742" s="41" t="s">
        <v>43</v>
      </c>
      <c r="B742" s="41" t="s">
        <v>44</v>
      </c>
      <c r="C742" s="41" t="s">
        <v>45</v>
      </c>
      <c r="D742" s="41" t="s">
        <v>46</v>
      </c>
      <c r="E742" s="41" t="s">
        <v>47</v>
      </c>
      <c r="F742" s="41" t="s">
        <v>48</v>
      </c>
    </row>
    <row r="743" spans="1:6" ht="22.5">
      <c r="A743" s="42" t="s">
        <v>179</v>
      </c>
      <c r="B743" s="43" t="str">
        <f ca="1">IFERROR(INDEX(UNSPSCDes,MATCH(INDIRECT(ADDRESS(ROW(),COLUMN()-1,4)),UNSPSCCode,0)),IF(INDIRECT(ADDRESS(ROW(),COLUMN()-1,4))="90121502","Agencias de viajes",""))</f>
        <v>Agencias de viajes</v>
      </c>
      <c r="C743" s="44" t="str">
        <f>IFERROR(VLOOKUP("UD",'[1]Informacion '!P:Q,2,FALSE),"")</f>
        <v>Unidad</v>
      </c>
      <c r="D743" s="42">
        <v>1</v>
      </c>
      <c r="E743" s="45">
        <v>73211</v>
      </c>
      <c r="F743" s="46">
        <f ca="1">INDIRECT(ADDRESS(ROW(),COLUMN()-2,4))*INDIRECT(ADDRESS(ROW(),COLUMN()-1,4))</f>
        <v>73211</v>
      </c>
    </row>
    <row r="744" spans="1:6" ht="16.5">
      <c r="A744" s="36"/>
      <c r="B744" s="36"/>
      <c r="C744" s="36"/>
      <c r="D744" s="36"/>
      <c r="E744" s="47" t="s">
        <v>50</v>
      </c>
      <c r="F744" s="48">
        <f ca="1">SUM(Table61[MONTO TOTAL ESTIMADO])</f>
        <v>73211</v>
      </c>
    </row>
    <row r="745" spans="1:6" ht="17.25" thickBot="1">
      <c r="A745" s="36"/>
      <c r="B745" s="36"/>
      <c r="C745" s="36"/>
      <c r="D745" s="36"/>
      <c r="E745" s="36"/>
      <c r="F745" s="36"/>
    </row>
    <row r="746" spans="1:6" ht="34.5" thickBot="1">
      <c r="A746" s="1" t="s">
        <v>0</v>
      </c>
      <c r="B746" s="1" t="s">
        <v>1</v>
      </c>
      <c r="C746" s="1" t="s">
        <v>2</v>
      </c>
      <c r="D746" s="1" t="s">
        <v>3</v>
      </c>
      <c r="E746" s="1" t="s">
        <v>4</v>
      </c>
      <c r="F746" s="1" t="s">
        <v>5</v>
      </c>
    </row>
    <row r="747" spans="1:6" ht="15.75" thickBot="1">
      <c r="A747" s="2" t="s">
        <v>180</v>
      </c>
      <c r="B747" s="2" t="s">
        <v>181</v>
      </c>
      <c r="C747" s="2" t="s">
        <v>8</v>
      </c>
      <c r="D747" s="2" t="s">
        <v>41</v>
      </c>
      <c r="E747" s="2" t="s">
        <v>42</v>
      </c>
      <c r="F747" s="2"/>
    </row>
    <row r="748" spans="1:6" ht="15.75" thickBot="1">
      <c r="A748" s="3" t="s">
        <v>11</v>
      </c>
      <c r="B748" s="4" t="s">
        <v>12</v>
      </c>
      <c r="C748" s="37">
        <v>43277</v>
      </c>
      <c r="D748" s="3" t="s">
        <v>13</v>
      </c>
      <c r="E748" s="38" t="s">
        <v>14</v>
      </c>
      <c r="F748" s="39"/>
    </row>
    <row r="749" spans="1:6" ht="15.75" thickBot="1">
      <c r="A749" s="6"/>
      <c r="B749" s="4" t="s">
        <v>15</v>
      </c>
      <c r="C749" s="40">
        <f>IF(C748="","",IF(AND(MONTH(C748)&gt;=1,MONTH(C748)&lt;=3),1,IF(AND(MONTH(C748)&gt;=4,MONTH(C748)&lt;=6),2,IF(AND(MONTH(C748)&gt;=7,MONTH(C748)&lt;=9),3,4))))</f>
        <v>2</v>
      </c>
      <c r="D749" s="6"/>
      <c r="E749" s="38" t="s">
        <v>16</v>
      </c>
      <c r="F749" s="39"/>
    </row>
    <row r="750" spans="1:6" ht="15.75" thickBot="1">
      <c r="A750" s="6"/>
      <c r="B750" s="4" t="s">
        <v>17</v>
      </c>
      <c r="C750" s="37">
        <v>43278</v>
      </c>
      <c r="D750" s="6"/>
      <c r="E750" s="38" t="s">
        <v>18</v>
      </c>
      <c r="F750" s="39"/>
    </row>
    <row r="751" spans="1:6" ht="15.75" thickBot="1">
      <c r="A751" s="6"/>
      <c r="B751" s="4" t="s">
        <v>15</v>
      </c>
      <c r="C751" s="40">
        <f>IF(C750="","",IF(AND(MONTH(C750)&gt;=1,MONTH(C750)&lt;=3),1,IF(AND(MONTH(C750)&gt;=4,MONTH(C750)&lt;=6),2,IF(AND(MONTH(C750)&gt;=7,MONTH(C750)&lt;=9),3,4))))</f>
        <v>2</v>
      </c>
      <c r="D751" s="6"/>
      <c r="E751" s="38" t="s">
        <v>19</v>
      </c>
      <c r="F751" s="39"/>
    </row>
    <row r="752" spans="1:6" ht="17.25" thickBot="1">
      <c r="A752" s="36"/>
      <c r="B752" s="36"/>
      <c r="C752" s="36"/>
      <c r="D752" s="36"/>
      <c r="E752" s="36"/>
      <c r="F752" s="36"/>
    </row>
    <row r="753" spans="1:6" ht="15.75" thickBot="1">
      <c r="A753" s="41" t="s">
        <v>43</v>
      </c>
      <c r="B753" s="41" t="s">
        <v>44</v>
      </c>
      <c r="C753" s="41" t="s">
        <v>45</v>
      </c>
      <c r="D753" s="41" t="s">
        <v>46</v>
      </c>
      <c r="E753" s="41" t="s">
        <v>47</v>
      </c>
      <c r="F753" s="41" t="s">
        <v>48</v>
      </c>
    </row>
    <row r="754" spans="1:6" ht="22.5">
      <c r="A754" s="42" t="s">
        <v>179</v>
      </c>
      <c r="B754" s="43" t="str">
        <f ca="1">IFERROR(INDEX(UNSPSCDes,MATCH(INDIRECT(ADDRESS(ROW(),COLUMN()-1,4)),UNSPSCCode,0)),IF(INDIRECT(ADDRESS(ROW(),COLUMN()-1,4))="90121502","Agencias de viajes",""))</f>
        <v>Agencias de viajes</v>
      </c>
      <c r="C754" s="44" t="str">
        <f>IFERROR(VLOOKUP("UD",'[1]Informacion '!P:Q,2,FALSE),"")</f>
        <v>Unidad</v>
      </c>
      <c r="D754" s="42">
        <v>2</v>
      </c>
      <c r="E754" s="45">
        <v>48900</v>
      </c>
      <c r="F754" s="46">
        <f ca="1">INDIRECT(ADDRESS(ROW(),COLUMN()-2,4))*INDIRECT(ADDRESS(ROW(),COLUMN()-1,4))</f>
        <v>97800</v>
      </c>
    </row>
    <row r="755" spans="1:6" ht="16.5">
      <c r="A755" s="36"/>
      <c r="B755" s="36"/>
      <c r="C755" s="36"/>
      <c r="D755" s="36"/>
      <c r="E755" s="47" t="s">
        <v>50</v>
      </c>
      <c r="F755" s="48">
        <f ca="1">SUM(Table62[MONTO TOTAL ESTIMADO])</f>
        <v>97800</v>
      </c>
    </row>
    <row r="756" spans="1:6" ht="17.25" thickBot="1">
      <c r="A756" s="36"/>
      <c r="B756" s="36"/>
      <c r="C756" s="36"/>
      <c r="D756" s="36"/>
      <c r="E756" s="36"/>
      <c r="F756" s="36"/>
    </row>
    <row r="757" spans="1:6" ht="34.5" thickBot="1">
      <c r="A757" s="1" t="s">
        <v>0</v>
      </c>
      <c r="B757" s="1" t="s">
        <v>1</v>
      </c>
      <c r="C757" s="1" t="s">
        <v>2</v>
      </c>
      <c r="D757" s="1" t="s">
        <v>3</v>
      </c>
      <c r="E757" s="1" t="s">
        <v>4</v>
      </c>
      <c r="F757" s="1" t="s">
        <v>5</v>
      </c>
    </row>
    <row r="758" spans="1:6" ht="15.75" thickBot="1">
      <c r="A758" s="2" t="s">
        <v>180</v>
      </c>
      <c r="B758" s="2" t="s">
        <v>181</v>
      </c>
      <c r="C758" s="2" t="s">
        <v>8</v>
      </c>
      <c r="D758" s="2" t="s">
        <v>41</v>
      </c>
      <c r="E758" s="2" t="s">
        <v>42</v>
      </c>
      <c r="F758" s="2"/>
    </row>
    <row r="759" spans="1:6" ht="15.75" thickBot="1">
      <c r="A759" s="3" t="s">
        <v>11</v>
      </c>
      <c r="B759" s="4" t="s">
        <v>12</v>
      </c>
      <c r="C759" s="37">
        <v>43361</v>
      </c>
      <c r="D759" s="3" t="s">
        <v>13</v>
      </c>
      <c r="E759" s="38" t="s">
        <v>14</v>
      </c>
      <c r="F759" s="39"/>
    </row>
    <row r="760" spans="1:6" ht="15.75" thickBot="1">
      <c r="A760" s="6"/>
      <c r="B760" s="4" t="s">
        <v>15</v>
      </c>
      <c r="C760" s="40">
        <f>IF(C759="","",IF(AND(MONTH(C759)&gt;=1,MONTH(C759)&lt;=3),1,IF(AND(MONTH(C759)&gt;=4,MONTH(C759)&lt;=6),2,IF(AND(MONTH(C759)&gt;=7,MONTH(C759)&lt;=9),3,4))))</f>
        <v>3</v>
      </c>
      <c r="D760" s="6"/>
      <c r="E760" s="38" t="s">
        <v>16</v>
      </c>
      <c r="F760" s="39"/>
    </row>
    <row r="761" spans="1:6" ht="15.75" thickBot="1">
      <c r="A761" s="6"/>
      <c r="B761" s="4" t="s">
        <v>17</v>
      </c>
      <c r="C761" s="37">
        <v>43363</v>
      </c>
      <c r="D761" s="6"/>
      <c r="E761" s="38" t="s">
        <v>18</v>
      </c>
      <c r="F761" s="39"/>
    </row>
    <row r="762" spans="1:6" ht="15.75" thickBot="1">
      <c r="A762" s="6"/>
      <c r="B762" s="4" t="s">
        <v>15</v>
      </c>
      <c r="C762" s="40">
        <f>IF(C761="","",IF(AND(MONTH(C761)&gt;=1,MONTH(C761)&lt;=3),1,IF(AND(MONTH(C761)&gt;=4,MONTH(C761)&lt;=6),2,IF(AND(MONTH(C761)&gt;=7,MONTH(C761)&lt;=9),3,4))))</f>
        <v>3</v>
      </c>
      <c r="D762" s="6"/>
      <c r="E762" s="38" t="s">
        <v>19</v>
      </c>
      <c r="F762" s="39"/>
    </row>
    <row r="763" spans="1:6" ht="17.25" thickBot="1">
      <c r="A763" s="36"/>
      <c r="B763" s="36"/>
      <c r="C763" s="36"/>
      <c r="D763" s="36"/>
      <c r="E763" s="36"/>
      <c r="F763" s="36"/>
    </row>
    <row r="764" spans="1:6" ht="15.75" thickBot="1">
      <c r="A764" s="41" t="s">
        <v>43</v>
      </c>
      <c r="B764" s="41" t="s">
        <v>44</v>
      </c>
      <c r="C764" s="41" t="s">
        <v>45</v>
      </c>
      <c r="D764" s="41" t="s">
        <v>46</v>
      </c>
      <c r="E764" s="41" t="s">
        <v>47</v>
      </c>
      <c r="F764" s="41" t="s">
        <v>48</v>
      </c>
    </row>
    <row r="765" spans="1:6" ht="22.5">
      <c r="A765" s="42" t="s">
        <v>179</v>
      </c>
      <c r="B765" s="43" t="str">
        <f ca="1">IFERROR(INDEX(UNSPSCDes,MATCH(INDIRECT(ADDRESS(ROW(),COLUMN()-1,4)),UNSPSCCode,0)),IF(INDIRECT(ADDRESS(ROW(),COLUMN()-1,4))="90121502","Agencias de viajes",""))</f>
        <v>Agencias de viajes</v>
      </c>
      <c r="C765" s="44" t="str">
        <f>IFERROR(VLOOKUP("UD",'[1]Informacion '!P:Q,2,FALSE),"")</f>
        <v>Unidad</v>
      </c>
      <c r="D765" s="42">
        <v>2</v>
      </c>
      <c r="E765" s="45">
        <v>58900</v>
      </c>
      <c r="F765" s="46">
        <f ca="1">INDIRECT(ADDRESS(ROW(),COLUMN()-2,4))*INDIRECT(ADDRESS(ROW(),COLUMN()-1,4))</f>
        <v>117800</v>
      </c>
    </row>
    <row r="766" spans="1:6" ht="16.5">
      <c r="A766" s="36"/>
      <c r="B766" s="36"/>
      <c r="C766" s="36"/>
      <c r="D766" s="36"/>
      <c r="E766" s="47" t="s">
        <v>50</v>
      </c>
      <c r="F766" s="48">
        <f ca="1">SUM(Table63[MONTO TOTAL ESTIMADO])</f>
        <v>117800</v>
      </c>
    </row>
    <row r="767" spans="1:6" ht="17.25" thickBot="1">
      <c r="A767" s="36"/>
      <c r="B767" s="36"/>
      <c r="C767" s="36"/>
      <c r="D767" s="36"/>
      <c r="E767" s="36"/>
      <c r="F767" s="36"/>
    </row>
    <row r="768" spans="1:6" ht="34.5" thickBot="1">
      <c r="A768" s="1" t="s">
        <v>0</v>
      </c>
      <c r="B768" s="1" t="s">
        <v>1</v>
      </c>
      <c r="C768" s="1" t="s">
        <v>2</v>
      </c>
      <c r="D768" s="1" t="s">
        <v>3</v>
      </c>
      <c r="E768" s="1" t="s">
        <v>4</v>
      </c>
      <c r="F768" s="1" t="s">
        <v>5</v>
      </c>
    </row>
    <row r="769" spans="1:6" ht="15.75" thickBot="1">
      <c r="A769" s="2" t="s">
        <v>182</v>
      </c>
      <c r="B769" s="2" t="s">
        <v>183</v>
      </c>
      <c r="C769" s="2" t="s">
        <v>8</v>
      </c>
      <c r="D769" s="2" t="s">
        <v>41</v>
      </c>
      <c r="E769" s="2" t="s">
        <v>42</v>
      </c>
      <c r="F769" s="2"/>
    </row>
    <row r="770" spans="1:6" ht="15.75" thickBot="1">
      <c r="A770" s="3" t="s">
        <v>11</v>
      </c>
      <c r="B770" s="4" t="s">
        <v>12</v>
      </c>
      <c r="C770" s="37">
        <v>43425</v>
      </c>
      <c r="D770" s="3" t="s">
        <v>13</v>
      </c>
      <c r="E770" s="38" t="s">
        <v>14</v>
      </c>
      <c r="F770" s="39"/>
    </row>
    <row r="771" spans="1:6" ht="15.75" thickBot="1">
      <c r="A771" s="6"/>
      <c r="B771" s="4" t="s">
        <v>15</v>
      </c>
      <c r="C771" s="40">
        <f>IF(C770="","",IF(AND(MONTH(C770)&gt;=1,MONTH(C770)&lt;=3),1,IF(AND(MONTH(C770)&gt;=4,MONTH(C770)&lt;=6),2,IF(AND(MONTH(C770)&gt;=7,MONTH(C770)&lt;=9),3,4))))</f>
        <v>4</v>
      </c>
      <c r="D771" s="6"/>
      <c r="E771" s="38" t="s">
        <v>16</v>
      </c>
      <c r="F771" s="39"/>
    </row>
    <row r="772" spans="1:6" ht="15.75" thickBot="1">
      <c r="A772" s="6"/>
      <c r="B772" s="4" t="s">
        <v>17</v>
      </c>
      <c r="C772" s="37">
        <v>43426</v>
      </c>
      <c r="D772" s="6"/>
      <c r="E772" s="38" t="s">
        <v>18</v>
      </c>
      <c r="F772" s="39"/>
    </row>
    <row r="773" spans="1:6" ht="15.75" thickBot="1">
      <c r="A773" s="6"/>
      <c r="B773" s="4" t="s">
        <v>15</v>
      </c>
      <c r="C773" s="40">
        <f>IF(C772="","",IF(AND(MONTH(C772)&gt;=1,MONTH(C772)&lt;=3),1,IF(AND(MONTH(C772)&gt;=4,MONTH(C772)&lt;=6),2,IF(AND(MONTH(C772)&gt;=7,MONTH(C772)&lt;=9),3,4))))</f>
        <v>4</v>
      </c>
      <c r="D773" s="6"/>
      <c r="E773" s="38" t="s">
        <v>19</v>
      </c>
      <c r="F773" s="39"/>
    </row>
    <row r="774" spans="1:6" ht="17.25" thickBot="1">
      <c r="A774" s="36"/>
      <c r="B774" s="36"/>
      <c r="C774" s="36"/>
      <c r="D774" s="36"/>
      <c r="E774" s="36"/>
      <c r="F774" s="36"/>
    </row>
    <row r="775" spans="1:6" ht="15.75" thickBot="1">
      <c r="A775" s="41" t="s">
        <v>43</v>
      </c>
      <c r="B775" s="41" t="s">
        <v>44</v>
      </c>
      <c r="C775" s="41" t="s">
        <v>45</v>
      </c>
      <c r="D775" s="41" t="s">
        <v>46</v>
      </c>
      <c r="E775" s="41" t="s">
        <v>47</v>
      </c>
      <c r="F775" s="41" t="s">
        <v>48</v>
      </c>
    </row>
    <row r="776" spans="1:6" ht="22.5">
      <c r="A776" s="42" t="s">
        <v>179</v>
      </c>
      <c r="B776" s="43" t="str">
        <f ca="1">IFERROR(INDEX(UNSPSCDes,MATCH(INDIRECT(ADDRESS(ROW(),COLUMN()-1,4)),UNSPSCCode,0)),IF(INDIRECT(ADDRESS(ROW(),COLUMN()-1,4))="90121502","Agencias de viajes",""))</f>
        <v>Agencias de viajes</v>
      </c>
      <c r="C776" s="44" t="str">
        <f>IFERROR(VLOOKUP("UD",'[1]Informacion '!P:Q,2,FALSE),"")</f>
        <v>Unidad</v>
      </c>
      <c r="D776" s="42">
        <v>2</v>
      </c>
      <c r="E776" s="45">
        <v>36621</v>
      </c>
      <c r="F776" s="46">
        <f ca="1">INDIRECT(ADDRESS(ROW(),COLUMN()-2,4))*INDIRECT(ADDRESS(ROW(),COLUMN()-1,4))</f>
        <v>73242</v>
      </c>
    </row>
    <row r="777" spans="1:6" ht="16.5">
      <c r="A777" s="36"/>
      <c r="B777" s="36"/>
      <c r="C777" s="36"/>
      <c r="D777" s="36"/>
      <c r="E777" s="47" t="s">
        <v>50</v>
      </c>
      <c r="F777" s="48">
        <f ca="1">SUM(Table64[MONTO TOTAL ESTIMADO])</f>
        <v>73242</v>
      </c>
    </row>
    <row r="778" spans="1:6" ht="17.25" thickBot="1">
      <c r="A778" s="36"/>
      <c r="B778" s="36"/>
      <c r="C778" s="36"/>
      <c r="D778" s="36"/>
      <c r="E778" s="36"/>
      <c r="F778" s="36"/>
    </row>
    <row r="779" spans="1:6" ht="34.5" thickBot="1">
      <c r="A779" s="1" t="s">
        <v>0</v>
      </c>
      <c r="B779" s="1" t="s">
        <v>1</v>
      </c>
      <c r="C779" s="1" t="s">
        <v>2</v>
      </c>
      <c r="D779" s="1" t="s">
        <v>3</v>
      </c>
      <c r="E779" s="1" t="s">
        <v>4</v>
      </c>
      <c r="F779" s="1" t="s">
        <v>5</v>
      </c>
    </row>
    <row r="780" spans="1:6" ht="15.75" thickBot="1">
      <c r="A780" s="2" t="s">
        <v>184</v>
      </c>
      <c r="B780" s="2" t="s">
        <v>185</v>
      </c>
      <c r="C780" s="2" t="s">
        <v>8</v>
      </c>
      <c r="D780" s="2" t="s">
        <v>41</v>
      </c>
      <c r="E780" s="2" t="s">
        <v>42</v>
      </c>
      <c r="F780" s="2"/>
    </row>
    <row r="781" spans="1:6" ht="15.75" thickBot="1">
      <c r="A781" s="3" t="s">
        <v>11</v>
      </c>
      <c r="B781" s="4" t="s">
        <v>12</v>
      </c>
      <c r="C781" s="37">
        <v>43279</v>
      </c>
      <c r="D781" s="3" t="s">
        <v>13</v>
      </c>
      <c r="E781" s="38" t="s">
        <v>14</v>
      </c>
      <c r="F781" s="39"/>
    </row>
    <row r="782" spans="1:6" ht="15.75" thickBot="1">
      <c r="A782" s="6"/>
      <c r="B782" s="4" t="s">
        <v>15</v>
      </c>
      <c r="C782" s="40">
        <f>IF(C781="","",IF(AND(MONTH(C781)&gt;=1,MONTH(C781)&lt;=3),1,IF(AND(MONTH(C781)&gt;=4,MONTH(C781)&lt;=6),2,IF(AND(MONTH(C781)&gt;=7,MONTH(C781)&lt;=9),3,4))))</f>
        <v>2</v>
      </c>
      <c r="D782" s="6"/>
      <c r="E782" s="38" t="s">
        <v>16</v>
      </c>
      <c r="F782" s="39"/>
    </row>
    <row r="783" spans="1:6" ht="15.75" thickBot="1">
      <c r="A783" s="6"/>
      <c r="B783" s="4" t="s">
        <v>17</v>
      </c>
      <c r="C783" s="37">
        <v>43281</v>
      </c>
      <c r="D783" s="6"/>
      <c r="E783" s="38" t="s">
        <v>18</v>
      </c>
      <c r="F783" s="39"/>
    </row>
    <row r="784" spans="1:6" ht="15.75" thickBot="1">
      <c r="A784" s="6"/>
      <c r="B784" s="4" t="s">
        <v>15</v>
      </c>
      <c r="C784" s="40">
        <f>IF(C783="","",IF(AND(MONTH(C783)&gt;=1,MONTH(C783)&lt;=3),1,IF(AND(MONTH(C783)&gt;=4,MONTH(C783)&lt;=6),2,IF(AND(MONTH(C783)&gt;=7,MONTH(C783)&lt;=9),3,4))))</f>
        <v>2</v>
      </c>
      <c r="D784" s="6"/>
      <c r="E784" s="38" t="s">
        <v>19</v>
      </c>
      <c r="F784" s="39"/>
    </row>
    <row r="785" spans="1:6" ht="17.25" thickBot="1">
      <c r="A785" s="36"/>
      <c r="B785" s="36"/>
      <c r="C785" s="36"/>
      <c r="D785" s="36"/>
      <c r="E785" s="36"/>
      <c r="F785" s="36"/>
    </row>
    <row r="786" spans="1:6" ht="15.75" thickBot="1">
      <c r="A786" s="41" t="s">
        <v>43</v>
      </c>
      <c r="B786" s="41" t="s">
        <v>44</v>
      </c>
      <c r="C786" s="41" t="s">
        <v>45</v>
      </c>
      <c r="D786" s="41" t="s">
        <v>46</v>
      </c>
      <c r="E786" s="41" t="s">
        <v>47</v>
      </c>
      <c r="F786" s="41" t="s">
        <v>48</v>
      </c>
    </row>
    <row r="787" spans="1:6" ht="22.5">
      <c r="A787" s="42" t="s">
        <v>179</v>
      </c>
      <c r="B787" s="43" t="str">
        <f ca="1">IFERROR(INDEX(UNSPSCDes,MATCH(INDIRECT(ADDRESS(ROW(),COLUMN()-1,4)),UNSPSCCode,0)),IF(INDIRECT(ADDRESS(ROW(),COLUMN()-1,4))="90121502","Agencias de viajes",""))</f>
        <v>Agencias de viajes</v>
      </c>
      <c r="C787" s="44" t="str">
        <f>IFERROR(VLOOKUP("UD",'[1]Informacion '!P:Q,2,FALSE),"")</f>
        <v>Unidad</v>
      </c>
      <c r="D787" s="42">
        <v>4</v>
      </c>
      <c r="E787" s="45">
        <v>30000</v>
      </c>
      <c r="F787" s="46">
        <f ca="1">INDIRECT(ADDRESS(ROW(),COLUMN()-2,4))*INDIRECT(ADDRESS(ROW(),COLUMN()-1,4))</f>
        <v>120000</v>
      </c>
    </row>
    <row r="788" spans="1:6" ht="16.5">
      <c r="A788" s="36"/>
      <c r="B788" s="36"/>
      <c r="C788" s="36"/>
      <c r="D788" s="36"/>
      <c r="E788" s="47" t="s">
        <v>50</v>
      </c>
      <c r="F788" s="48">
        <f ca="1">SUM(Table65[MONTO TOTAL ESTIMADO])</f>
        <v>120000</v>
      </c>
    </row>
    <row r="789" spans="1:6" ht="17.25" thickBot="1">
      <c r="A789" s="36"/>
      <c r="B789" s="36"/>
      <c r="C789" s="36"/>
      <c r="D789" s="36"/>
      <c r="E789" s="36"/>
      <c r="F789" s="36"/>
    </row>
    <row r="790" spans="1:6" ht="34.5" thickBot="1">
      <c r="A790" s="1" t="s">
        <v>0</v>
      </c>
      <c r="B790" s="1" t="s">
        <v>1</v>
      </c>
      <c r="C790" s="1" t="s">
        <v>2</v>
      </c>
      <c r="D790" s="1" t="s">
        <v>3</v>
      </c>
      <c r="E790" s="1" t="s">
        <v>4</v>
      </c>
      <c r="F790" s="1" t="s">
        <v>5</v>
      </c>
    </row>
    <row r="791" spans="1:6" ht="15.75" thickBot="1">
      <c r="A791" s="2" t="s">
        <v>184</v>
      </c>
      <c r="B791" s="2" t="s">
        <v>185</v>
      </c>
      <c r="C791" s="2" t="s">
        <v>8</v>
      </c>
      <c r="D791" s="2" t="s">
        <v>41</v>
      </c>
      <c r="E791" s="2" t="s">
        <v>42</v>
      </c>
      <c r="F791" s="2"/>
    </row>
    <row r="792" spans="1:6" ht="15.75" thickBot="1">
      <c r="A792" s="3" t="s">
        <v>11</v>
      </c>
      <c r="B792" s="4" t="s">
        <v>12</v>
      </c>
      <c r="C792" s="37">
        <v>43445</v>
      </c>
      <c r="D792" s="3" t="s">
        <v>13</v>
      </c>
      <c r="E792" s="38" t="s">
        <v>14</v>
      </c>
      <c r="F792" s="39"/>
    </row>
    <row r="793" spans="1:6" ht="15.75" thickBot="1">
      <c r="A793" s="6"/>
      <c r="B793" s="4" t="s">
        <v>15</v>
      </c>
      <c r="C793" s="40">
        <f>IF(C792="","",IF(AND(MONTH(C792)&gt;=1,MONTH(C792)&lt;=3),1,IF(AND(MONTH(C792)&gt;=4,MONTH(C792)&lt;=6),2,IF(AND(MONTH(C792)&gt;=7,MONTH(C792)&lt;=9),3,4))))</f>
        <v>4</v>
      </c>
      <c r="D793" s="6"/>
      <c r="E793" s="38" t="s">
        <v>16</v>
      </c>
      <c r="F793" s="39"/>
    </row>
    <row r="794" spans="1:6" ht="15.75" thickBot="1">
      <c r="A794" s="6"/>
      <c r="B794" s="4" t="s">
        <v>17</v>
      </c>
      <c r="C794" s="37">
        <v>43447</v>
      </c>
      <c r="D794" s="6"/>
      <c r="E794" s="38" t="s">
        <v>18</v>
      </c>
      <c r="F794" s="39"/>
    </row>
    <row r="795" spans="1:6" ht="15.75" thickBot="1">
      <c r="A795" s="6"/>
      <c r="B795" s="4" t="s">
        <v>15</v>
      </c>
      <c r="C795" s="40">
        <f>IF(C794="","",IF(AND(MONTH(C794)&gt;=1,MONTH(C794)&lt;=3),1,IF(AND(MONTH(C794)&gt;=4,MONTH(C794)&lt;=6),2,IF(AND(MONTH(C794)&gt;=7,MONTH(C794)&lt;=9),3,4))))</f>
        <v>4</v>
      </c>
      <c r="D795" s="6"/>
      <c r="E795" s="38" t="s">
        <v>19</v>
      </c>
      <c r="F795" s="39"/>
    </row>
    <row r="796" spans="1:6" ht="17.25" thickBot="1">
      <c r="A796" s="36"/>
      <c r="B796" s="36"/>
      <c r="C796" s="36"/>
      <c r="D796" s="36"/>
      <c r="E796" s="36"/>
      <c r="F796" s="36"/>
    </row>
    <row r="797" spans="1:6" ht="15.75" thickBot="1">
      <c r="A797" s="41" t="s">
        <v>43</v>
      </c>
      <c r="B797" s="41" t="s">
        <v>44</v>
      </c>
      <c r="C797" s="41" t="s">
        <v>45</v>
      </c>
      <c r="D797" s="41" t="s">
        <v>46</v>
      </c>
      <c r="E797" s="41" t="s">
        <v>47</v>
      </c>
      <c r="F797" s="41" t="s">
        <v>48</v>
      </c>
    </row>
    <row r="798" spans="1:6" ht="22.5">
      <c r="A798" s="42" t="s">
        <v>179</v>
      </c>
      <c r="B798" s="43" t="str">
        <f ca="1">IFERROR(INDEX(UNSPSCDes,MATCH(INDIRECT(ADDRESS(ROW(),COLUMN()-1,4)),UNSPSCCode,0)),IF(INDIRECT(ADDRESS(ROW(),COLUMN()-1,4))="90121502","Agencias de viajes",""))</f>
        <v>Agencias de viajes</v>
      </c>
      <c r="C798" s="44" t="str">
        <f>IFERROR(VLOOKUP("UD",'[1]Informacion '!P:Q,2,FALSE),"")</f>
        <v>Unidad</v>
      </c>
      <c r="D798" s="42">
        <v>4</v>
      </c>
      <c r="E798" s="45">
        <v>30000</v>
      </c>
      <c r="F798" s="46">
        <f ca="1">INDIRECT(ADDRESS(ROW(),COLUMN()-2,4))*INDIRECT(ADDRESS(ROW(),COLUMN()-1,4))</f>
        <v>120000</v>
      </c>
    </row>
    <row r="799" spans="1:6" ht="16.5">
      <c r="A799" s="36"/>
      <c r="B799" s="36"/>
      <c r="C799" s="36"/>
      <c r="D799" s="36"/>
      <c r="E799" s="47" t="s">
        <v>50</v>
      </c>
      <c r="F799" s="48">
        <f ca="1">SUM(Table66[MONTO TOTAL ESTIMADO])</f>
        <v>120000</v>
      </c>
    </row>
    <row r="800" spans="1:6" ht="17.25" thickBot="1">
      <c r="A800" s="36"/>
      <c r="B800" s="36"/>
      <c r="C800" s="36"/>
      <c r="D800" s="36"/>
      <c r="E800" s="36"/>
      <c r="F800" s="36"/>
    </row>
    <row r="801" spans="1:6" ht="34.5" thickBot="1">
      <c r="A801" s="1" t="s">
        <v>0</v>
      </c>
      <c r="B801" s="1" t="s">
        <v>1</v>
      </c>
      <c r="C801" s="1" t="s">
        <v>2</v>
      </c>
      <c r="D801" s="1" t="s">
        <v>3</v>
      </c>
      <c r="E801" s="1" t="s">
        <v>4</v>
      </c>
      <c r="F801" s="1" t="s">
        <v>5</v>
      </c>
    </row>
    <row r="802" spans="1:6" ht="15.75" thickBot="1">
      <c r="A802" s="2" t="s">
        <v>186</v>
      </c>
      <c r="B802" s="2" t="s">
        <v>187</v>
      </c>
      <c r="C802" s="2" t="s">
        <v>8</v>
      </c>
      <c r="D802" s="2" t="s">
        <v>41</v>
      </c>
      <c r="E802" s="2" t="s">
        <v>42</v>
      </c>
      <c r="F802" s="2"/>
    </row>
    <row r="803" spans="1:6" ht="15.75" thickBot="1">
      <c r="A803" s="3" t="s">
        <v>11</v>
      </c>
      <c r="B803" s="4" t="s">
        <v>12</v>
      </c>
      <c r="C803" s="37">
        <v>43340</v>
      </c>
      <c r="D803" s="3" t="s">
        <v>13</v>
      </c>
      <c r="E803" s="38" t="s">
        <v>14</v>
      </c>
      <c r="F803" s="39"/>
    </row>
    <row r="804" spans="1:6" ht="15.75" thickBot="1">
      <c r="A804" s="6"/>
      <c r="B804" s="4" t="s">
        <v>15</v>
      </c>
      <c r="C804" s="40">
        <f>IF(C803="","",IF(AND(MONTH(C803)&gt;=1,MONTH(C803)&lt;=3),1,IF(AND(MONTH(C803)&gt;=4,MONTH(C803)&lt;=6),2,IF(AND(MONTH(C803)&gt;=7,MONTH(C803)&lt;=9),3,4))))</f>
        <v>3</v>
      </c>
      <c r="D804" s="6"/>
      <c r="E804" s="38" t="s">
        <v>16</v>
      </c>
      <c r="F804" s="39"/>
    </row>
    <row r="805" spans="1:6" ht="15.75" thickBot="1">
      <c r="A805" s="6"/>
      <c r="B805" s="4" t="s">
        <v>17</v>
      </c>
      <c r="C805" s="37">
        <v>43341</v>
      </c>
      <c r="D805" s="6"/>
      <c r="E805" s="38" t="s">
        <v>18</v>
      </c>
      <c r="F805" s="39"/>
    </row>
    <row r="806" spans="1:6" ht="15.75" thickBot="1">
      <c r="A806" s="6"/>
      <c r="B806" s="4" t="s">
        <v>15</v>
      </c>
      <c r="C806" s="40">
        <f>IF(C805="","",IF(AND(MONTH(C805)&gt;=1,MONTH(C805)&lt;=3),1,IF(AND(MONTH(C805)&gt;=4,MONTH(C805)&lt;=6),2,IF(AND(MONTH(C805)&gt;=7,MONTH(C805)&lt;=9),3,4))))</f>
        <v>3</v>
      </c>
      <c r="D806" s="6"/>
      <c r="E806" s="38" t="s">
        <v>19</v>
      </c>
      <c r="F806" s="39"/>
    </row>
    <row r="807" spans="1:6" ht="17.25" thickBot="1">
      <c r="A807" s="36"/>
      <c r="B807" s="36"/>
      <c r="C807" s="36"/>
      <c r="D807" s="36"/>
      <c r="E807" s="36"/>
      <c r="F807" s="36"/>
    </row>
    <row r="808" spans="1:6" ht="15.75" thickBot="1">
      <c r="A808" s="41" t="s">
        <v>43</v>
      </c>
      <c r="B808" s="41" t="s">
        <v>44</v>
      </c>
      <c r="C808" s="41" t="s">
        <v>45</v>
      </c>
      <c r="D808" s="41" t="s">
        <v>46</v>
      </c>
      <c r="E808" s="41" t="s">
        <v>47</v>
      </c>
      <c r="F808" s="41" t="s">
        <v>48</v>
      </c>
    </row>
    <row r="809" spans="1:6">
      <c r="A809" s="42" t="s">
        <v>49</v>
      </c>
      <c r="B809" s="43" t="str">
        <f ca="1">IFERROR(INDEX(UNSPSCDes,MATCH(INDIRECT(ADDRESS(ROW(),COLUMN()-1,4)),UNSPSCCode,0)),IF(INDIRECT(ADDRESS(ROW(),COLUMN()-1,4))="15101506","Gasolina",""))</f>
        <v>Gasolina</v>
      </c>
      <c r="C809" s="44" t="str">
        <f>IFERROR(VLOOKUP("UD",'[1]Informacion '!P:Q,2,FALSE),"")</f>
        <v>Unidad</v>
      </c>
      <c r="D809" s="42">
        <v>25</v>
      </c>
      <c r="E809" s="45">
        <v>1000</v>
      </c>
      <c r="F809" s="46">
        <f ca="1">INDIRECT(ADDRESS(ROW(),COLUMN()-2,4))*INDIRECT(ADDRESS(ROW(),COLUMN()-1,4))</f>
        <v>25000</v>
      </c>
    </row>
    <row r="810" spans="1:6" ht="16.5">
      <c r="A810" s="36"/>
      <c r="B810" s="36"/>
      <c r="C810" s="36"/>
      <c r="D810" s="36"/>
      <c r="E810" s="47" t="s">
        <v>50</v>
      </c>
      <c r="F810" s="48">
        <f ca="1">SUM(Table67[MONTO TOTAL ESTIMADO])</f>
        <v>25000</v>
      </c>
    </row>
    <row r="811" spans="1:6" ht="17.25" thickBot="1">
      <c r="A811" s="36"/>
      <c r="B811" s="36"/>
      <c r="C811" s="36"/>
      <c r="D811" s="36"/>
      <c r="E811" s="36"/>
      <c r="F811" s="36"/>
    </row>
    <row r="812" spans="1:6" ht="34.5" thickBot="1">
      <c r="A812" s="1" t="s">
        <v>0</v>
      </c>
      <c r="B812" s="1" t="s">
        <v>1</v>
      </c>
      <c r="C812" s="1" t="s">
        <v>2</v>
      </c>
      <c r="D812" s="1" t="s">
        <v>3</v>
      </c>
      <c r="E812" s="1" t="s">
        <v>4</v>
      </c>
      <c r="F812" s="1" t="s">
        <v>5</v>
      </c>
    </row>
    <row r="813" spans="1:6" ht="15.75" thickBot="1">
      <c r="A813" s="2" t="s">
        <v>152</v>
      </c>
      <c r="B813" s="2" t="s">
        <v>153</v>
      </c>
      <c r="C813" s="2" t="s">
        <v>8</v>
      </c>
      <c r="D813" s="2" t="s">
        <v>62</v>
      </c>
      <c r="E813" s="2" t="s">
        <v>63</v>
      </c>
      <c r="F813" s="2"/>
    </row>
    <row r="814" spans="1:6" ht="15.75" thickBot="1">
      <c r="A814" s="3" t="s">
        <v>11</v>
      </c>
      <c r="B814" s="4" t="s">
        <v>12</v>
      </c>
      <c r="C814" s="37">
        <v>43216</v>
      </c>
      <c r="D814" s="3" t="s">
        <v>13</v>
      </c>
      <c r="E814" s="38" t="s">
        <v>14</v>
      </c>
      <c r="F814" s="39"/>
    </row>
    <row r="815" spans="1:6" ht="15.75" thickBot="1">
      <c r="A815" s="6"/>
      <c r="B815" s="4" t="s">
        <v>15</v>
      </c>
      <c r="C815" s="40">
        <f>IF(C814="","",IF(AND(MONTH(C814)&gt;=1,MONTH(C814)&lt;=3),1,IF(AND(MONTH(C814)&gt;=4,MONTH(C814)&lt;=6),2,IF(AND(MONTH(C814)&gt;=7,MONTH(C814)&lt;=9),3,4))))</f>
        <v>2</v>
      </c>
      <c r="D815" s="6"/>
      <c r="E815" s="38" t="s">
        <v>16</v>
      </c>
      <c r="F815" s="39"/>
    </row>
    <row r="816" spans="1:6" ht="15.75" thickBot="1">
      <c r="A816" s="6"/>
      <c r="B816" s="4" t="s">
        <v>17</v>
      </c>
      <c r="C816" s="37">
        <v>43217</v>
      </c>
      <c r="D816" s="6"/>
      <c r="E816" s="38" t="s">
        <v>18</v>
      </c>
      <c r="F816" s="39"/>
    </row>
    <row r="817" spans="1:6" ht="15.75" thickBot="1">
      <c r="A817" s="6"/>
      <c r="B817" s="4" t="s">
        <v>15</v>
      </c>
      <c r="C817" s="40">
        <f>IF(C816="","",IF(AND(MONTH(C816)&gt;=1,MONTH(C816)&lt;=3),1,IF(AND(MONTH(C816)&gt;=4,MONTH(C816)&lt;=6),2,IF(AND(MONTH(C816)&gt;=7,MONTH(C816)&lt;=9),3,4))))</f>
        <v>2</v>
      </c>
      <c r="D817" s="6"/>
      <c r="E817" s="38" t="s">
        <v>19</v>
      </c>
      <c r="F817" s="39"/>
    </row>
    <row r="818" spans="1:6" ht="17.25" thickBot="1">
      <c r="A818" s="36"/>
      <c r="B818" s="36"/>
      <c r="C818" s="36"/>
      <c r="D818" s="36"/>
      <c r="E818" s="36"/>
      <c r="F818" s="36"/>
    </row>
    <row r="819" spans="1:6" ht="15.75" thickBot="1">
      <c r="A819" s="41" t="s">
        <v>43</v>
      </c>
      <c r="B819" s="41" t="s">
        <v>44</v>
      </c>
      <c r="C819" s="41" t="s">
        <v>45</v>
      </c>
      <c r="D819" s="41" t="s">
        <v>46</v>
      </c>
      <c r="E819" s="41" t="s">
        <v>47</v>
      </c>
      <c r="F819" s="41" t="s">
        <v>48</v>
      </c>
    </row>
    <row r="820" spans="1:6" ht="22.5">
      <c r="A820" s="42" t="s">
        <v>77</v>
      </c>
      <c r="B820" s="43" t="str">
        <f ca="1">IFERROR(INDEX(UNSPSCDes,MATCH(INDIRECT(ADDRESS(ROW(),COLUMN()-1,4)),UNSPSCCode,0)),IF(INDIRECT(ADDRESS(ROW(),COLUMN()-1,4))="90101603","Servicios de cáterin",""))</f>
        <v>Servicios de cáterin</v>
      </c>
      <c r="C820" s="44" t="str">
        <f>IFERROR(VLOOKUP("UD",'[1]Informacion '!P:Q,2,FALSE),"")</f>
        <v>Unidad</v>
      </c>
      <c r="D820" s="42">
        <v>4</v>
      </c>
      <c r="E820" s="45">
        <v>300</v>
      </c>
      <c r="F820" s="46">
        <f ca="1">INDIRECT(ADDRESS(ROW(),COLUMN()-2,4))*INDIRECT(ADDRESS(ROW(),COLUMN()-1,4))</f>
        <v>1200</v>
      </c>
    </row>
    <row r="821" spans="1:6" ht="16.5">
      <c r="A821" s="36"/>
      <c r="B821" s="36"/>
      <c r="C821" s="36"/>
      <c r="D821" s="36"/>
      <c r="E821" s="47" t="s">
        <v>50</v>
      </c>
      <c r="F821" s="48">
        <f ca="1">SUM(Table68[MONTO TOTAL ESTIMADO])</f>
        <v>1200</v>
      </c>
    </row>
    <row r="822" spans="1:6" ht="17.25" thickBot="1">
      <c r="A822" s="36"/>
      <c r="B822" s="36"/>
      <c r="C822" s="36"/>
      <c r="D822" s="36"/>
      <c r="E822" s="36"/>
      <c r="F822" s="36"/>
    </row>
    <row r="823" spans="1:6" ht="34.5" thickBot="1">
      <c r="A823" s="1" t="s">
        <v>0</v>
      </c>
      <c r="B823" s="1" t="s">
        <v>1</v>
      </c>
      <c r="C823" s="1" t="s">
        <v>2</v>
      </c>
      <c r="D823" s="1" t="s">
        <v>3</v>
      </c>
      <c r="E823" s="1" t="s">
        <v>4</v>
      </c>
      <c r="F823" s="1" t="s">
        <v>5</v>
      </c>
    </row>
    <row r="824" spans="1:6" ht="15.75" thickBot="1">
      <c r="A824" s="2" t="s">
        <v>152</v>
      </c>
      <c r="B824" s="2" t="s">
        <v>153</v>
      </c>
      <c r="C824" s="2" t="s">
        <v>8</v>
      </c>
      <c r="D824" s="2" t="s">
        <v>62</v>
      </c>
      <c r="E824" s="2" t="s">
        <v>63</v>
      </c>
      <c r="F824" s="2"/>
    </row>
    <row r="825" spans="1:6" ht="15.75" thickBot="1">
      <c r="A825" s="3" t="s">
        <v>11</v>
      </c>
      <c r="B825" s="4" t="s">
        <v>12</v>
      </c>
      <c r="C825" s="37">
        <v>43214</v>
      </c>
      <c r="D825" s="3" t="s">
        <v>13</v>
      </c>
      <c r="E825" s="38" t="s">
        <v>14</v>
      </c>
      <c r="F825" s="39"/>
    </row>
    <row r="826" spans="1:6" ht="15.75" thickBot="1">
      <c r="A826" s="6"/>
      <c r="B826" s="4" t="s">
        <v>15</v>
      </c>
      <c r="C826" s="40">
        <f>IF(C825="","",IF(AND(MONTH(C825)&gt;=1,MONTH(C825)&lt;=3),1,IF(AND(MONTH(C825)&gt;=4,MONTH(C825)&lt;=6),2,IF(AND(MONTH(C825)&gt;=7,MONTH(C825)&lt;=9),3,4))))</f>
        <v>2</v>
      </c>
      <c r="D826" s="6"/>
      <c r="E826" s="38" t="s">
        <v>16</v>
      </c>
      <c r="F826" s="39"/>
    </row>
    <row r="827" spans="1:6" ht="15.75" thickBot="1">
      <c r="A827" s="6"/>
      <c r="B827" s="4" t="s">
        <v>17</v>
      </c>
      <c r="C827" s="37">
        <v>43215</v>
      </c>
      <c r="D827" s="6"/>
      <c r="E827" s="38" t="s">
        <v>18</v>
      </c>
      <c r="F827" s="39"/>
    </row>
    <row r="828" spans="1:6" ht="15.75" thickBot="1">
      <c r="A828" s="6"/>
      <c r="B828" s="4" t="s">
        <v>15</v>
      </c>
      <c r="C828" s="40">
        <f>IF(C827="","",IF(AND(MONTH(C827)&gt;=1,MONTH(C827)&lt;=3),1,IF(AND(MONTH(C827)&gt;=4,MONTH(C827)&lt;=6),2,IF(AND(MONTH(C827)&gt;=7,MONTH(C827)&lt;=9),3,4))))</f>
        <v>2</v>
      </c>
      <c r="D828" s="6"/>
      <c r="E828" s="38" t="s">
        <v>19</v>
      </c>
      <c r="F828" s="39"/>
    </row>
    <row r="829" spans="1:6" ht="17.25" thickBot="1">
      <c r="A829" s="36"/>
      <c r="B829" s="36"/>
      <c r="C829" s="36"/>
      <c r="D829" s="36"/>
      <c r="E829" s="36"/>
      <c r="F829" s="36"/>
    </row>
    <row r="830" spans="1:6" ht="15.75" thickBot="1">
      <c r="A830" s="41" t="s">
        <v>43</v>
      </c>
      <c r="B830" s="41" t="s">
        <v>44</v>
      </c>
      <c r="C830" s="41" t="s">
        <v>45</v>
      </c>
      <c r="D830" s="41" t="s">
        <v>46</v>
      </c>
      <c r="E830" s="41" t="s">
        <v>47</v>
      </c>
      <c r="F830" s="41" t="s">
        <v>48</v>
      </c>
    </row>
    <row r="831" spans="1:6" ht="22.5">
      <c r="A831" s="42" t="s">
        <v>77</v>
      </c>
      <c r="B831" s="43" t="str">
        <f ca="1">IFERROR(INDEX(UNSPSCDes,MATCH(INDIRECT(ADDRESS(ROW(),COLUMN()-1,4)),UNSPSCCode,0)),IF(INDIRECT(ADDRESS(ROW(),COLUMN()-1,4))="90101603","Servicios de cáterin",""))</f>
        <v>Servicios de cáterin</v>
      </c>
      <c r="C831" s="44" t="str">
        <f>IFERROR(VLOOKUP("UD",'[1]Informacion '!P:Q,2,FALSE),"")</f>
        <v>Unidad</v>
      </c>
      <c r="D831" s="42">
        <v>5</v>
      </c>
      <c r="E831" s="45">
        <v>250</v>
      </c>
      <c r="F831" s="46">
        <f ca="1">INDIRECT(ADDRESS(ROW(),COLUMN()-2,4))*INDIRECT(ADDRESS(ROW(),COLUMN()-1,4))</f>
        <v>1250</v>
      </c>
    </row>
    <row r="832" spans="1:6" ht="16.5">
      <c r="A832" s="36"/>
      <c r="B832" s="36"/>
      <c r="C832" s="36"/>
      <c r="D832" s="36"/>
      <c r="E832" s="47" t="s">
        <v>50</v>
      </c>
      <c r="F832" s="48">
        <f ca="1">SUM(Table69[MONTO TOTAL ESTIMADO])</f>
        <v>1250</v>
      </c>
    </row>
    <row r="833" spans="1:6" ht="17.25" thickBot="1">
      <c r="A833" s="36"/>
      <c r="B833" s="36"/>
      <c r="C833" s="36"/>
      <c r="D833" s="36"/>
      <c r="E833" s="36"/>
      <c r="F833" s="36"/>
    </row>
    <row r="834" spans="1:6" ht="34.5" thickBot="1">
      <c r="A834" s="1" t="s">
        <v>0</v>
      </c>
      <c r="B834" s="1" t="s">
        <v>1</v>
      </c>
      <c r="C834" s="1" t="s">
        <v>2</v>
      </c>
      <c r="D834" s="1" t="s">
        <v>3</v>
      </c>
      <c r="E834" s="1" t="s">
        <v>4</v>
      </c>
      <c r="F834" s="1" t="s">
        <v>5</v>
      </c>
    </row>
    <row r="835" spans="1:6" ht="15.75" thickBot="1">
      <c r="A835" s="2" t="s">
        <v>152</v>
      </c>
      <c r="B835" s="2" t="s">
        <v>153</v>
      </c>
      <c r="C835" s="2" t="s">
        <v>8</v>
      </c>
      <c r="D835" s="2" t="s">
        <v>62</v>
      </c>
      <c r="E835" s="2" t="s">
        <v>63</v>
      </c>
      <c r="F835" s="2"/>
    </row>
    <row r="836" spans="1:6" ht="15.75" thickBot="1">
      <c r="A836" s="3" t="s">
        <v>11</v>
      </c>
      <c r="B836" s="4" t="s">
        <v>12</v>
      </c>
      <c r="C836" s="37">
        <v>43357</v>
      </c>
      <c r="D836" s="3" t="s">
        <v>13</v>
      </c>
      <c r="E836" s="38" t="s">
        <v>14</v>
      </c>
      <c r="F836" s="39"/>
    </row>
    <row r="837" spans="1:6" ht="15.75" thickBot="1">
      <c r="A837" s="6"/>
      <c r="B837" s="4" t="s">
        <v>15</v>
      </c>
      <c r="C837" s="40">
        <f>IF(C836="","",IF(AND(MONTH(C836)&gt;=1,MONTH(C836)&lt;=3),1,IF(AND(MONTH(C836)&gt;=4,MONTH(C836)&lt;=6),2,IF(AND(MONTH(C836)&gt;=7,MONTH(C836)&lt;=9),3,4))))</f>
        <v>3</v>
      </c>
      <c r="D837" s="6"/>
      <c r="E837" s="38" t="s">
        <v>16</v>
      </c>
      <c r="F837" s="39"/>
    </row>
    <row r="838" spans="1:6" ht="15.75" thickBot="1">
      <c r="A838" s="6"/>
      <c r="B838" s="4" t="s">
        <v>17</v>
      </c>
      <c r="C838" s="37">
        <v>43358</v>
      </c>
      <c r="D838" s="6"/>
      <c r="E838" s="38" t="s">
        <v>18</v>
      </c>
      <c r="F838" s="39"/>
    </row>
    <row r="839" spans="1:6" ht="15.75" thickBot="1">
      <c r="A839" s="6"/>
      <c r="B839" s="4" t="s">
        <v>15</v>
      </c>
      <c r="C839" s="40">
        <f>IF(C838="","",IF(AND(MONTH(C838)&gt;=1,MONTH(C838)&lt;=3),1,IF(AND(MONTH(C838)&gt;=4,MONTH(C838)&lt;=6),2,IF(AND(MONTH(C838)&gt;=7,MONTH(C838)&lt;=9),3,4))))</f>
        <v>3</v>
      </c>
      <c r="D839" s="6"/>
      <c r="E839" s="38" t="s">
        <v>19</v>
      </c>
      <c r="F839" s="39"/>
    </row>
    <row r="840" spans="1:6" ht="17.25" thickBot="1">
      <c r="A840" s="36"/>
      <c r="B840" s="36"/>
      <c r="C840" s="36"/>
      <c r="D840" s="36"/>
      <c r="E840" s="36"/>
      <c r="F840" s="36"/>
    </row>
    <row r="841" spans="1:6" ht="15.75" thickBot="1">
      <c r="A841" s="41" t="s">
        <v>43</v>
      </c>
      <c r="B841" s="41" t="s">
        <v>44</v>
      </c>
      <c r="C841" s="41" t="s">
        <v>45</v>
      </c>
      <c r="D841" s="41" t="s">
        <v>46</v>
      </c>
      <c r="E841" s="41" t="s">
        <v>47</v>
      </c>
      <c r="F841" s="41" t="s">
        <v>48</v>
      </c>
    </row>
    <row r="842" spans="1:6" ht="22.5">
      <c r="A842" s="42" t="s">
        <v>77</v>
      </c>
      <c r="B842" s="43" t="str">
        <f ca="1">IFERROR(INDEX(UNSPSCDes,MATCH(INDIRECT(ADDRESS(ROW(),COLUMN()-1,4)),UNSPSCCode,0)),IF(INDIRECT(ADDRESS(ROW(),COLUMN()-1,4))="90101603","Servicios de cáterin",""))</f>
        <v>Servicios de cáterin</v>
      </c>
      <c r="C842" s="44" t="str">
        <f>IFERROR(VLOOKUP("UD",'[1]Informacion '!P:Q,2,FALSE),"")</f>
        <v>Unidad</v>
      </c>
      <c r="D842" s="42">
        <v>5</v>
      </c>
      <c r="E842" s="45">
        <v>250</v>
      </c>
      <c r="F842" s="46">
        <f ca="1">INDIRECT(ADDRESS(ROW(),COLUMN()-2,4))*INDIRECT(ADDRESS(ROW(),COLUMN()-1,4))</f>
        <v>1250</v>
      </c>
    </row>
    <row r="843" spans="1:6" ht="16.5">
      <c r="A843" s="36"/>
      <c r="B843" s="36"/>
      <c r="C843" s="36"/>
      <c r="D843" s="36"/>
      <c r="E843" s="47" t="s">
        <v>50</v>
      </c>
      <c r="F843" s="48">
        <f ca="1">SUM(Table70[MONTO TOTAL ESTIMADO])</f>
        <v>1250</v>
      </c>
    </row>
    <row r="844" spans="1:6" ht="17.25" thickBot="1">
      <c r="A844" s="36"/>
      <c r="B844" s="36"/>
      <c r="C844" s="36"/>
      <c r="D844" s="36"/>
      <c r="E844" s="36"/>
      <c r="F844" s="36"/>
    </row>
    <row r="845" spans="1:6" ht="34.5" thickBot="1">
      <c r="A845" s="1" t="s">
        <v>0</v>
      </c>
      <c r="B845" s="1" t="s">
        <v>1</v>
      </c>
      <c r="C845" s="1" t="s">
        <v>2</v>
      </c>
      <c r="D845" s="1" t="s">
        <v>3</v>
      </c>
      <c r="E845" s="1" t="s">
        <v>4</v>
      </c>
      <c r="F845" s="1" t="s">
        <v>5</v>
      </c>
    </row>
    <row r="846" spans="1:6" ht="15.75" thickBot="1">
      <c r="A846" s="2" t="s">
        <v>188</v>
      </c>
      <c r="B846" s="2" t="s">
        <v>189</v>
      </c>
      <c r="C846" s="2" t="s">
        <v>8</v>
      </c>
      <c r="D846" s="2" t="s">
        <v>53</v>
      </c>
      <c r="E846" s="2" t="s">
        <v>42</v>
      </c>
      <c r="F846" s="2"/>
    </row>
    <row r="847" spans="1:6" ht="15.75" thickBot="1">
      <c r="A847" s="3" t="s">
        <v>11</v>
      </c>
      <c r="B847" s="4" t="s">
        <v>12</v>
      </c>
      <c r="C847" s="37">
        <v>43257</v>
      </c>
      <c r="D847" s="3" t="s">
        <v>13</v>
      </c>
      <c r="E847" s="38" t="s">
        <v>14</v>
      </c>
      <c r="F847" s="39"/>
    </row>
    <row r="848" spans="1:6" ht="15.75" thickBot="1">
      <c r="A848" s="6"/>
      <c r="B848" s="4" t="s">
        <v>15</v>
      </c>
      <c r="C848" s="40">
        <f>IF(C847="","",IF(AND(MONTH(C847)&gt;=1,MONTH(C847)&lt;=3),1,IF(AND(MONTH(C847)&gt;=4,MONTH(C847)&lt;=6),2,IF(AND(MONTH(C847)&gt;=7,MONTH(C847)&lt;=9),3,4))))</f>
        <v>2</v>
      </c>
      <c r="D848" s="6"/>
      <c r="E848" s="38" t="s">
        <v>16</v>
      </c>
      <c r="F848" s="39"/>
    </row>
    <row r="849" spans="1:6" ht="15.75" thickBot="1">
      <c r="A849" s="6"/>
      <c r="B849" s="4" t="s">
        <v>17</v>
      </c>
      <c r="C849" s="37">
        <v>43259</v>
      </c>
      <c r="D849" s="6"/>
      <c r="E849" s="38" t="s">
        <v>18</v>
      </c>
      <c r="F849" s="39"/>
    </row>
    <row r="850" spans="1:6" ht="15.75" thickBot="1">
      <c r="A850" s="6"/>
      <c r="B850" s="4" t="s">
        <v>15</v>
      </c>
      <c r="C850" s="40">
        <f>IF(C849="","",IF(AND(MONTH(C849)&gt;=1,MONTH(C849)&lt;=3),1,IF(AND(MONTH(C849)&gt;=4,MONTH(C849)&lt;=6),2,IF(AND(MONTH(C849)&gt;=7,MONTH(C849)&lt;=9),3,4))))</f>
        <v>2</v>
      </c>
      <c r="D850" s="6"/>
      <c r="E850" s="38" t="s">
        <v>19</v>
      </c>
      <c r="F850" s="39"/>
    </row>
    <row r="851" spans="1:6" ht="17.25" thickBot="1">
      <c r="A851" s="36"/>
      <c r="B851" s="36"/>
      <c r="C851" s="36"/>
      <c r="D851" s="36"/>
      <c r="E851" s="36"/>
      <c r="F851" s="36"/>
    </row>
    <row r="852" spans="1:6" ht="15.75" thickBot="1">
      <c r="A852" s="41" t="s">
        <v>43</v>
      </c>
      <c r="B852" s="41" t="s">
        <v>44</v>
      </c>
      <c r="C852" s="41" t="s">
        <v>45</v>
      </c>
      <c r="D852" s="41" t="s">
        <v>46</v>
      </c>
      <c r="E852" s="41" t="s">
        <v>47</v>
      </c>
      <c r="F852" s="41" t="s">
        <v>48</v>
      </c>
    </row>
    <row r="853" spans="1:6">
      <c r="A853" s="42" t="s">
        <v>190</v>
      </c>
      <c r="B853" s="43" t="str">
        <f ca="1">IFERROR(INDEX(UNSPSCDes,MATCH(INDIRECT(ADDRESS(ROW(),COLUMN()-1,4)),UNSPSCCode,0)),IF(INDIRECT(ADDRESS(ROW(),COLUMN()-1,4))="30222507","Hotel",""))</f>
        <v>Hotel</v>
      </c>
      <c r="C853" s="44" t="str">
        <f>IFERROR(VLOOKUP("UD",'[1]Informacion '!P:Q,2,FALSE),"")</f>
        <v>Unidad</v>
      </c>
      <c r="D853" s="42">
        <v>1</v>
      </c>
      <c r="E853" s="45">
        <v>600000</v>
      </c>
      <c r="F853" s="46">
        <f ca="1">INDIRECT(ADDRESS(ROW(),COLUMN()-2,4))*INDIRECT(ADDRESS(ROW(),COLUMN()-1,4))</f>
        <v>600000</v>
      </c>
    </row>
    <row r="854" spans="1:6" ht="16.5">
      <c r="A854" s="36"/>
      <c r="B854" s="36"/>
      <c r="C854" s="36"/>
      <c r="D854" s="36"/>
      <c r="E854" s="47" t="s">
        <v>50</v>
      </c>
      <c r="F854" s="48">
        <f ca="1">SUM(Table71[MONTO TOTAL ESTIMADO])</f>
        <v>600000</v>
      </c>
    </row>
    <row r="855" spans="1:6" ht="17.25" thickBot="1">
      <c r="A855" s="36"/>
      <c r="B855" s="36"/>
      <c r="C855" s="36"/>
      <c r="D855" s="36"/>
      <c r="E855" s="36"/>
      <c r="F855" s="36"/>
    </row>
    <row r="856" spans="1:6" ht="34.5" thickBot="1">
      <c r="A856" s="1" t="s">
        <v>0</v>
      </c>
      <c r="B856" s="1" t="s">
        <v>1</v>
      </c>
      <c r="C856" s="1" t="s">
        <v>2</v>
      </c>
      <c r="D856" s="1" t="s">
        <v>3</v>
      </c>
      <c r="E856" s="1" t="s">
        <v>4</v>
      </c>
      <c r="F856" s="1" t="s">
        <v>5</v>
      </c>
    </row>
    <row r="857" spans="1:6" ht="15.75" thickBot="1">
      <c r="A857" s="2" t="s">
        <v>152</v>
      </c>
      <c r="B857" s="2" t="s">
        <v>153</v>
      </c>
      <c r="C857" s="2" t="s">
        <v>8</v>
      </c>
      <c r="D857" s="2" t="s">
        <v>62</v>
      </c>
      <c r="E857" s="2" t="s">
        <v>63</v>
      </c>
      <c r="F857" s="2"/>
    </row>
    <row r="858" spans="1:6" ht="15.75" thickBot="1">
      <c r="A858" s="3" t="s">
        <v>11</v>
      </c>
      <c r="B858" s="4" t="s">
        <v>12</v>
      </c>
      <c r="C858" s="37">
        <v>43431</v>
      </c>
      <c r="D858" s="3" t="s">
        <v>13</v>
      </c>
      <c r="E858" s="38" t="s">
        <v>14</v>
      </c>
      <c r="F858" s="39"/>
    </row>
    <row r="859" spans="1:6" ht="15.75" thickBot="1">
      <c r="A859" s="6"/>
      <c r="B859" s="4" t="s">
        <v>15</v>
      </c>
      <c r="C859" s="40">
        <f>IF(C858="","",IF(AND(MONTH(C858)&gt;=1,MONTH(C858)&lt;=3),1,IF(AND(MONTH(C858)&gt;=4,MONTH(C858)&lt;=6),2,IF(AND(MONTH(C858)&gt;=7,MONTH(C858)&lt;=9),3,4))))</f>
        <v>4</v>
      </c>
      <c r="D859" s="6"/>
      <c r="E859" s="38" t="s">
        <v>16</v>
      </c>
      <c r="F859" s="39"/>
    </row>
    <row r="860" spans="1:6" ht="15.75" thickBot="1">
      <c r="A860" s="6"/>
      <c r="B860" s="4" t="s">
        <v>17</v>
      </c>
      <c r="C860" s="37">
        <v>43432</v>
      </c>
      <c r="D860" s="6"/>
      <c r="E860" s="38" t="s">
        <v>18</v>
      </c>
      <c r="F860" s="39"/>
    </row>
    <row r="861" spans="1:6" ht="15.75" thickBot="1">
      <c r="A861" s="6"/>
      <c r="B861" s="4" t="s">
        <v>15</v>
      </c>
      <c r="C861" s="40">
        <f>IF(C860="","",IF(AND(MONTH(C860)&gt;=1,MONTH(C860)&lt;=3),1,IF(AND(MONTH(C860)&gt;=4,MONTH(C860)&lt;=6),2,IF(AND(MONTH(C860)&gt;=7,MONTH(C860)&lt;=9),3,4))))</f>
        <v>4</v>
      </c>
      <c r="D861" s="6"/>
      <c r="E861" s="38" t="s">
        <v>19</v>
      </c>
      <c r="F861" s="39"/>
    </row>
    <row r="862" spans="1:6" ht="17.25" thickBot="1">
      <c r="A862" s="36"/>
      <c r="B862" s="36"/>
      <c r="C862" s="36"/>
      <c r="D862" s="36"/>
      <c r="E862" s="36"/>
      <c r="F862" s="36"/>
    </row>
    <row r="863" spans="1:6" ht="15.75" thickBot="1">
      <c r="A863" s="41" t="s">
        <v>43</v>
      </c>
      <c r="B863" s="41" t="s">
        <v>44</v>
      </c>
      <c r="C863" s="41" t="s">
        <v>45</v>
      </c>
      <c r="D863" s="41" t="s">
        <v>46</v>
      </c>
      <c r="E863" s="41" t="s">
        <v>47</v>
      </c>
      <c r="F863" s="41" t="s">
        <v>48</v>
      </c>
    </row>
    <row r="864" spans="1:6" ht="22.5">
      <c r="A864" s="42" t="s">
        <v>77</v>
      </c>
      <c r="B864" s="43" t="str">
        <f ca="1">IFERROR(INDEX(UNSPSCDes,MATCH(INDIRECT(ADDRESS(ROW(),COLUMN()-1,4)),UNSPSCCode,0)),IF(INDIRECT(ADDRESS(ROW(),COLUMN()-1,4))="90101603","Servicios de cáterin",""))</f>
        <v>Servicios de cáterin</v>
      </c>
      <c r="C864" s="44" t="str">
        <f>IFERROR(VLOOKUP("UD",'[1]Informacion '!P:Q,2,FALSE),"")</f>
        <v>Unidad</v>
      </c>
      <c r="D864" s="42">
        <v>5</v>
      </c>
      <c r="E864" s="45">
        <v>150</v>
      </c>
      <c r="F864" s="46">
        <f ca="1">INDIRECT(ADDRESS(ROW(),COLUMN()-2,4))*INDIRECT(ADDRESS(ROW(),COLUMN()-1,4))</f>
        <v>750</v>
      </c>
    </row>
    <row r="865" spans="1:6" ht="16.5">
      <c r="A865" s="36"/>
      <c r="B865" s="36"/>
      <c r="C865" s="36"/>
      <c r="D865" s="36"/>
      <c r="E865" s="47" t="s">
        <v>50</v>
      </c>
      <c r="F865" s="48">
        <f ca="1">SUM(Table72[MONTO TOTAL ESTIMADO])</f>
        <v>750</v>
      </c>
    </row>
    <row r="866" spans="1:6" ht="17.25" thickBot="1">
      <c r="A866" s="36"/>
      <c r="B866" s="36"/>
      <c r="C866" s="36"/>
      <c r="D866" s="36"/>
      <c r="E866" s="36"/>
      <c r="F866" s="36"/>
    </row>
    <row r="867" spans="1:6" ht="34.5" thickBot="1">
      <c r="A867" s="1" t="s">
        <v>0</v>
      </c>
      <c r="B867" s="1" t="s">
        <v>1</v>
      </c>
      <c r="C867" s="1" t="s">
        <v>2</v>
      </c>
      <c r="D867" s="1" t="s">
        <v>3</v>
      </c>
      <c r="E867" s="1" t="s">
        <v>4</v>
      </c>
      <c r="F867" s="1" t="s">
        <v>5</v>
      </c>
    </row>
    <row r="868" spans="1:6" ht="15.75" thickBot="1">
      <c r="A868" s="2" t="s">
        <v>186</v>
      </c>
      <c r="B868" s="2" t="s">
        <v>187</v>
      </c>
      <c r="C868" s="2" t="s">
        <v>8</v>
      </c>
      <c r="D868" s="2" t="s">
        <v>41</v>
      </c>
      <c r="E868" s="2" t="s">
        <v>42</v>
      </c>
      <c r="F868" s="2"/>
    </row>
    <row r="869" spans="1:6" ht="15.75" thickBot="1">
      <c r="A869" s="3" t="s">
        <v>11</v>
      </c>
      <c r="B869" s="4" t="s">
        <v>12</v>
      </c>
      <c r="C869" s="37">
        <v>43448</v>
      </c>
      <c r="D869" s="3" t="s">
        <v>13</v>
      </c>
      <c r="E869" s="38" t="s">
        <v>14</v>
      </c>
      <c r="F869" s="39"/>
    </row>
    <row r="870" spans="1:6" ht="15.75" thickBot="1">
      <c r="A870" s="6"/>
      <c r="B870" s="4" t="s">
        <v>15</v>
      </c>
      <c r="C870" s="40">
        <f>IF(C869="","",IF(AND(MONTH(C869)&gt;=1,MONTH(C869)&lt;=3),1,IF(AND(MONTH(C869)&gt;=4,MONTH(C869)&lt;=6),2,IF(AND(MONTH(C869)&gt;=7,MONTH(C869)&lt;=9),3,4))))</f>
        <v>4</v>
      </c>
      <c r="D870" s="6"/>
      <c r="E870" s="38" t="s">
        <v>16</v>
      </c>
      <c r="F870" s="39"/>
    </row>
    <row r="871" spans="1:6" ht="15.75" thickBot="1">
      <c r="A871" s="6"/>
      <c r="B871" s="4" t="s">
        <v>17</v>
      </c>
      <c r="C871" s="37">
        <v>43449</v>
      </c>
      <c r="D871" s="6"/>
      <c r="E871" s="38" t="s">
        <v>18</v>
      </c>
      <c r="F871" s="39"/>
    </row>
    <row r="872" spans="1:6" ht="15.75" thickBot="1">
      <c r="A872" s="6"/>
      <c r="B872" s="4" t="s">
        <v>15</v>
      </c>
      <c r="C872" s="40">
        <f>IF(C871="","",IF(AND(MONTH(C871)&gt;=1,MONTH(C871)&lt;=3),1,IF(AND(MONTH(C871)&gt;=4,MONTH(C871)&lt;=6),2,IF(AND(MONTH(C871)&gt;=7,MONTH(C871)&lt;=9),3,4))))</f>
        <v>4</v>
      </c>
      <c r="D872" s="6"/>
      <c r="E872" s="38" t="s">
        <v>19</v>
      </c>
      <c r="F872" s="39"/>
    </row>
    <row r="873" spans="1:6" ht="17.25" thickBot="1">
      <c r="A873" s="36"/>
      <c r="B873" s="36"/>
      <c r="C873" s="36"/>
      <c r="D873" s="36"/>
      <c r="E873" s="36"/>
      <c r="F873" s="36"/>
    </row>
    <row r="874" spans="1:6" ht="15.75" thickBot="1">
      <c r="A874" s="41" t="s">
        <v>43</v>
      </c>
      <c r="B874" s="41" t="s">
        <v>44</v>
      </c>
      <c r="C874" s="41" t="s">
        <v>45</v>
      </c>
      <c r="D874" s="41" t="s">
        <v>46</v>
      </c>
      <c r="E874" s="41" t="s">
        <v>47</v>
      </c>
      <c r="F874" s="41" t="s">
        <v>48</v>
      </c>
    </row>
    <row r="875" spans="1:6">
      <c r="A875" s="42" t="s">
        <v>49</v>
      </c>
      <c r="B875" s="43" t="str">
        <f ca="1">IFERROR(INDEX(UNSPSCDes,MATCH(INDIRECT(ADDRESS(ROW(),COLUMN()-1,4)),UNSPSCCode,0)),IF(INDIRECT(ADDRESS(ROW(),COLUMN()-1,4))="15101506","Gasolina",""))</f>
        <v>Gasolina</v>
      </c>
      <c r="C875" s="44" t="str">
        <f>IFERROR(VLOOKUP("UD",'[1]Informacion '!P:Q,2,FALSE),"")</f>
        <v>Unidad</v>
      </c>
      <c r="D875" s="42">
        <v>25</v>
      </c>
      <c r="E875" s="45">
        <v>1000</v>
      </c>
      <c r="F875" s="46">
        <f ca="1">INDIRECT(ADDRESS(ROW(),COLUMN()-2,4))*INDIRECT(ADDRESS(ROW(),COLUMN()-1,4))</f>
        <v>25000</v>
      </c>
    </row>
    <row r="876" spans="1:6" ht="16.5">
      <c r="A876" s="36"/>
      <c r="B876" s="36"/>
      <c r="C876" s="36"/>
      <c r="D876" s="36"/>
      <c r="E876" s="47" t="s">
        <v>50</v>
      </c>
      <c r="F876" s="48">
        <f ca="1">SUM(Table73[MONTO TOTAL ESTIMADO])</f>
        <v>25000</v>
      </c>
    </row>
    <row r="877" spans="1:6" ht="17.25" thickBot="1">
      <c r="A877" s="36"/>
      <c r="B877" s="36"/>
      <c r="C877" s="36"/>
      <c r="D877" s="36"/>
      <c r="E877" s="36"/>
      <c r="F877" s="36"/>
    </row>
    <row r="878" spans="1:6" ht="34.5" thickBot="1">
      <c r="A878" s="1" t="s">
        <v>0</v>
      </c>
      <c r="B878" s="1" t="s">
        <v>1</v>
      </c>
      <c r="C878" s="1" t="s">
        <v>2</v>
      </c>
      <c r="D878" s="1" t="s">
        <v>3</v>
      </c>
      <c r="E878" s="1" t="s">
        <v>4</v>
      </c>
      <c r="F878" s="1" t="s">
        <v>5</v>
      </c>
    </row>
    <row r="879" spans="1:6" ht="15.75" thickBot="1">
      <c r="A879" s="2" t="s">
        <v>191</v>
      </c>
      <c r="B879" s="2" t="s">
        <v>192</v>
      </c>
      <c r="C879" s="2" t="s">
        <v>40</v>
      </c>
      <c r="D879" s="2" t="s">
        <v>62</v>
      </c>
      <c r="E879" s="2" t="s">
        <v>42</v>
      </c>
      <c r="F879" s="2"/>
    </row>
    <row r="880" spans="1:6" ht="15.75" thickBot="1">
      <c r="A880" s="3" t="s">
        <v>11</v>
      </c>
      <c r="B880" s="4" t="s">
        <v>12</v>
      </c>
      <c r="C880" s="37">
        <v>43348</v>
      </c>
      <c r="D880" s="3" t="s">
        <v>13</v>
      </c>
      <c r="E880" s="38" t="s">
        <v>14</v>
      </c>
      <c r="F880" s="39"/>
    </row>
    <row r="881" spans="1:6" ht="15.75" thickBot="1">
      <c r="A881" s="6"/>
      <c r="B881" s="4" t="s">
        <v>15</v>
      </c>
      <c r="C881" s="40">
        <f>IF(C880="","",IF(AND(MONTH(C880)&gt;=1,MONTH(C880)&lt;=3),1,IF(AND(MONTH(C880)&gt;=4,MONTH(C880)&lt;=6),2,IF(AND(MONTH(C880)&gt;=7,MONTH(C880)&lt;=9),3,4))))</f>
        <v>3</v>
      </c>
      <c r="D881" s="6"/>
      <c r="E881" s="38" t="s">
        <v>16</v>
      </c>
      <c r="F881" s="39"/>
    </row>
    <row r="882" spans="1:6" ht="15.75" thickBot="1">
      <c r="A882" s="6"/>
      <c r="B882" s="4" t="s">
        <v>17</v>
      </c>
      <c r="C882" s="37">
        <v>43349</v>
      </c>
      <c r="D882" s="6"/>
      <c r="E882" s="38" t="s">
        <v>18</v>
      </c>
      <c r="F882" s="39"/>
    </row>
    <row r="883" spans="1:6" ht="15.75" thickBot="1">
      <c r="A883" s="6"/>
      <c r="B883" s="4" t="s">
        <v>15</v>
      </c>
      <c r="C883" s="40">
        <f>IF(C882="","",IF(AND(MONTH(C882)&gt;=1,MONTH(C882)&lt;=3),1,IF(AND(MONTH(C882)&gt;=4,MONTH(C882)&lt;=6),2,IF(AND(MONTH(C882)&gt;=7,MONTH(C882)&lt;=9),3,4))))</f>
        <v>3</v>
      </c>
      <c r="D883" s="6"/>
      <c r="E883" s="38" t="s">
        <v>19</v>
      </c>
      <c r="F883" s="39"/>
    </row>
    <row r="884" spans="1:6" ht="17.25" thickBot="1">
      <c r="A884" s="36"/>
      <c r="B884" s="36"/>
      <c r="C884" s="36"/>
      <c r="D884" s="36"/>
      <c r="E884" s="36"/>
      <c r="F884" s="36"/>
    </row>
    <row r="885" spans="1:6" ht="15.75" thickBot="1">
      <c r="A885" s="41" t="s">
        <v>43</v>
      </c>
      <c r="B885" s="41" t="s">
        <v>44</v>
      </c>
      <c r="C885" s="41" t="s">
        <v>45</v>
      </c>
      <c r="D885" s="41" t="s">
        <v>46</v>
      </c>
      <c r="E885" s="41" t="s">
        <v>47</v>
      </c>
      <c r="F885" s="41" t="s">
        <v>48</v>
      </c>
    </row>
    <row r="886" spans="1:6" ht="33.75">
      <c r="A886" s="42" t="s">
        <v>54</v>
      </c>
      <c r="B886" s="43" t="str">
        <f ca="1">IFERROR(INDEX(UNSPSCDes,MATCH(INDIRECT(ADDRESS(ROW(),COLUMN()-1,4)),UNSPSCCode,0)),IF(INDIRECT(ADDRESS(ROW(),COLUMN()-1,4))="14111507","Papel para impresora o fotocopiadora",""))</f>
        <v>Papel para impresora o fotocopiadora</v>
      </c>
      <c r="C886" s="44" t="str">
        <f>IFERROR(VLOOKUP("UD",'[1]Informacion '!P:Q,2,FALSE),"")</f>
        <v>Unidad</v>
      </c>
      <c r="D886" s="42">
        <v>700</v>
      </c>
      <c r="E886" s="45">
        <v>120</v>
      </c>
      <c r="F886" s="46">
        <f ca="1">INDIRECT(ADDRESS(ROW(),COLUMN()-2,4))*INDIRECT(ADDRESS(ROW(),COLUMN()-1,4))</f>
        <v>84000</v>
      </c>
    </row>
    <row r="887" spans="1:6" ht="16.5">
      <c r="A887" s="36"/>
      <c r="B887" s="36"/>
      <c r="C887" s="36"/>
      <c r="D887" s="36"/>
      <c r="E887" s="47" t="s">
        <v>50</v>
      </c>
      <c r="F887" s="48">
        <f ca="1">SUM(Table74[MONTO TOTAL ESTIMADO])</f>
        <v>84000</v>
      </c>
    </row>
    <row r="888" spans="1:6" ht="17.25" thickBot="1">
      <c r="A888" s="36"/>
      <c r="B888" s="36"/>
      <c r="C888" s="36"/>
      <c r="D888" s="36"/>
      <c r="E888" s="36"/>
      <c r="F888" s="36"/>
    </row>
    <row r="889" spans="1:6" ht="34.5" thickBot="1">
      <c r="A889" s="1" t="s">
        <v>0</v>
      </c>
      <c r="B889" s="1" t="s">
        <v>1</v>
      </c>
      <c r="C889" s="1" t="s">
        <v>2</v>
      </c>
      <c r="D889" s="1" t="s">
        <v>3</v>
      </c>
      <c r="E889" s="1" t="s">
        <v>4</v>
      </c>
      <c r="F889" s="1" t="s">
        <v>5</v>
      </c>
    </row>
    <row r="890" spans="1:6" ht="15.75" thickBot="1">
      <c r="A890" s="2" t="s">
        <v>193</v>
      </c>
      <c r="B890" s="2" t="s">
        <v>194</v>
      </c>
      <c r="C890" s="2" t="s">
        <v>40</v>
      </c>
      <c r="D890" s="2" t="s">
        <v>62</v>
      </c>
      <c r="E890" s="2" t="s">
        <v>63</v>
      </c>
      <c r="F890" s="2"/>
    </row>
    <row r="891" spans="1:6" ht="15.75" thickBot="1">
      <c r="A891" s="3" t="s">
        <v>11</v>
      </c>
      <c r="B891" s="4" t="s">
        <v>12</v>
      </c>
      <c r="C891" s="37">
        <v>43313</v>
      </c>
      <c r="D891" s="3" t="s">
        <v>13</v>
      </c>
      <c r="E891" s="38" t="s">
        <v>14</v>
      </c>
      <c r="F891" s="39"/>
    </row>
    <row r="892" spans="1:6" ht="15.75" thickBot="1">
      <c r="A892" s="6"/>
      <c r="B892" s="4" t="s">
        <v>15</v>
      </c>
      <c r="C892" s="40">
        <f>IF(C891="","",IF(AND(MONTH(C891)&gt;=1,MONTH(C891)&lt;=3),1,IF(AND(MONTH(C891)&gt;=4,MONTH(C891)&lt;=6),2,IF(AND(MONTH(C891)&gt;=7,MONTH(C891)&lt;=9),3,4))))</f>
        <v>3</v>
      </c>
      <c r="D892" s="6"/>
      <c r="E892" s="38" t="s">
        <v>16</v>
      </c>
      <c r="F892" s="39"/>
    </row>
    <row r="893" spans="1:6" ht="15.75" thickBot="1">
      <c r="A893" s="6"/>
      <c r="B893" s="4" t="s">
        <v>17</v>
      </c>
      <c r="C893" s="37">
        <v>43314</v>
      </c>
      <c r="D893" s="6"/>
      <c r="E893" s="38" t="s">
        <v>18</v>
      </c>
      <c r="F893" s="39"/>
    </row>
    <row r="894" spans="1:6" ht="15.75" thickBot="1">
      <c r="A894" s="6"/>
      <c r="B894" s="4" t="s">
        <v>15</v>
      </c>
      <c r="C894" s="40">
        <f>IF(C893="","",IF(AND(MONTH(C893)&gt;=1,MONTH(C893)&lt;=3),1,IF(AND(MONTH(C893)&gt;=4,MONTH(C893)&lt;=6),2,IF(AND(MONTH(C893)&gt;=7,MONTH(C893)&lt;=9),3,4))))</f>
        <v>3</v>
      </c>
      <c r="D894" s="6"/>
      <c r="E894" s="38" t="s">
        <v>19</v>
      </c>
      <c r="F894" s="39"/>
    </row>
    <row r="895" spans="1:6" ht="17.25" thickBot="1">
      <c r="A895" s="36"/>
      <c r="B895" s="36"/>
      <c r="C895" s="36"/>
      <c r="D895" s="36"/>
      <c r="E895" s="36"/>
      <c r="F895" s="36"/>
    </row>
    <row r="896" spans="1:6" ht="15.75" thickBot="1">
      <c r="A896" s="41" t="s">
        <v>43</v>
      </c>
      <c r="B896" s="41" t="s">
        <v>44</v>
      </c>
      <c r="C896" s="41" t="s">
        <v>45</v>
      </c>
      <c r="D896" s="41" t="s">
        <v>46</v>
      </c>
      <c r="E896" s="41" t="s">
        <v>47</v>
      </c>
      <c r="F896" s="41" t="s">
        <v>48</v>
      </c>
    </row>
    <row r="897" spans="1:6" ht="22.5">
      <c r="A897" s="42" t="s">
        <v>195</v>
      </c>
      <c r="B897" s="43" t="str">
        <f ca="1">IFERROR(INDEX(UNSPSCDes,MATCH(INDIRECT(ADDRESS(ROW(),COLUMN()-1,4)),UNSPSCCode,0)),IF(INDIRECT(ADDRESS(ROW(),COLUMN()-1,4))="14111511","Papel de escritura",""))</f>
        <v>Papel de escritura</v>
      </c>
      <c r="C897" s="44" t="str">
        <f>IFERROR(VLOOKUP("RESMA",'[1]Informacion '!P:Q,2,FALSE),"")</f>
        <v>Resma</v>
      </c>
      <c r="D897" s="42">
        <v>20</v>
      </c>
      <c r="E897" s="45">
        <v>364</v>
      </c>
      <c r="F897" s="46">
        <f ca="1">INDIRECT(ADDRESS(ROW(),COLUMN()-2,4))*INDIRECT(ADDRESS(ROW(),COLUMN()-1,4))</f>
        <v>7280</v>
      </c>
    </row>
    <row r="898" spans="1:6" ht="16.5">
      <c r="A898" s="36"/>
      <c r="B898" s="36"/>
      <c r="C898" s="36"/>
      <c r="D898" s="36"/>
      <c r="E898" s="47" t="s">
        <v>50</v>
      </c>
      <c r="F898" s="48">
        <f ca="1">SUM(Table75[MONTO TOTAL ESTIMADO])</f>
        <v>7280</v>
      </c>
    </row>
    <row r="899" spans="1:6" ht="17.25" thickBot="1">
      <c r="A899" s="36"/>
      <c r="B899" s="36"/>
      <c r="C899" s="36"/>
      <c r="D899" s="36"/>
      <c r="E899" s="36"/>
      <c r="F899" s="36"/>
    </row>
    <row r="900" spans="1:6" ht="34.5" thickBot="1">
      <c r="A900" s="1" t="s">
        <v>0</v>
      </c>
      <c r="B900" s="1" t="s">
        <v>1</v>
      </c>
      <c r="C900" s="1" t="s">
        <v>2</v>
      </c>
      <c r="D900" s="1" t="s">
        <v>3</v>
      </c>
      <c r="E900" s="1" t="s">
        <v>4</v>
      </c>
      <c r="F900" s="1" t="s">
        <v>5</v>
      </c>
    </row>
    <row r="901" spans="1:6" ht="15.75" thickBot="1">
      <c r="A901" s="2" t="s">
        <v>193</v>
      </c>
      <c r="B901" s="2" t="s">
        <v>194</v>
      </c>
      <c r="C901" s="2" t="s">
        <v>40</v>
      </c>
      <c r="D901" s="2" t="s">
        <v>62</v>
      </c>
      <c r="E901" s="2" t="s">
        <v>63</v>
      </c>
      <c r="F901" s="2"/>
    </row>
    <row r="902" spans="1:6" ht="15.75" thickBot="1">
      <c r="A902" s="3" t="s">
        <v>11</v>
      </c>
      <c r="B902" s="4" t="s">
        <v>12</v>
      </c>
      <c r="C902" s="37">
        <v>43385</v>
      </c>
      <c r="D902" s="3" t="s">
        <v>13</v>
      </c>
      <c r="E902" s="38" t="s">
        <v>14</v>
      </c>
      <c r="F902" s="39"/>
    </row>
    <row r="903" spans="1:6" ht="15.75" thickBot="1">
      <c r="A903" s="6"/>
      <c r="B903" s="4" t="s">
        <v>15</v>
      </c>
      <c r="C903" s="40">
        <f>IF(C902="","",IF(AND(MONTH(C902)&gt;=1,MONTH(C902)&lt;=3),1,IF(AND(MONTH(C902)&gt;=4,MONTH(C902)&lt;=6),2,IF(AND(MONTH(C902)&gt;=7,MONTH(C902)&lt;=9),3,4))))</f>
        <v>4</v>
      </c>
      <c r="D903" s="6"/>
      <c r="E903" s="38" t="s">
        <v>16</v>
      </c>
      <c r="F903" s="39"/>
    </row>
    <row r="904" spans="1:6" ht="15.75" thickBot="1">
      <c r="A904" s="6"/>
      <c r="B904" s="4" t="s">
        <v>17</v>
      </c>
      <c r="C904" s="37">
        <v>43386</v>
      </c>
      <c r="D904" s="6"/>
      <c r="E904" s="38" t="s">
        <v>18</v>
      </c>
      <c r="F904" s="39"/>
    </row>
    <row r="905" spans="1:6" ht="15.75" thickBot="1">
      <c r="A905" s="6"/>
      <c r="B905" s="4" t="s">
        <v>15</v>
      </c>
      <c r="C905" s="40">
        <f>IF(C904="","",IF(AND(MONTH(C904)&gt;=1,MONTH(C904)&lt;=3),1,IF(AND(MONTH(C904)&gt;=4,MONTH(C904)&lt;=6),2,IF(AND(MONTH(C904)&gt;=7,MONTH(C904)&lt;=9),3,4))))</f>
        <v>4</v>
      </c>
      <c r="D905" s="6"/>
      <c r="E905" s="38" t="s">
        <v>19</v>
      </c>
      <c r="F905" s="39"/>
    </row>
    <row r="906" spans="1:6" ht="17.25" thickBot="1">
      <c r="A906" s="36"/>
      <c r="B906" s="36"/>
      <c r="C906" s="36"/>
      <c r="D906" s="36"/>
      <c r="E906" s="36"/>
      <c r="F906" s="36"/>
    </row>
    <row r="907" spans="1:6" ht="15.75" thickBot="1">
      <c r="A907" s="41" t="s">
        <v>43</v>
      </c>
      <c r="B907" s="41" t="s">
        <v>44</v>
      </c>
      <c r="C907" s="41" t="s">
        <v>45</v>
      </c>
      <c r="D907" s="41" t="s">
        <v>46</v>
      </c>
      <c r="E907" s="41" t="s">
        <v>47</v>
      </c>
      <c r="F907" s="41" t="s">
        <v>48</v>
      </c>
    </row>
    <row r="908" spans="1:6" ht="22.5">
      <c r="A908" s="42" t="s">
        <v>195</v>
      </c>
      <c r="B908" s="43" t="str">
        <f ca="1">IFERROR(INDEX(UNSPSCDes,MATCH(INDIRECT(ADDRESS(ROW(),COLUMN()-1,4)),UNSPSCCode,0)),IF(INDIRECT(ADDRESS(ROW(),COLUMN()-1,4))="14111511","Papel de escritura",""))</f>
        <v>Papel de escritura</v>
      </c>
      <c r="C908" s="44" t="str">
        <f>IFERROR(VLOOKUP("RESMA",'[1]Informacion '!P:Q,2,FALSE),"")</f>
        <v>Resma</v>
      </c>
      <c r="D908" s="42">
        <v>20</v>
      </c>
      <c r="E908" s="45">
        <v>364</v>
      </c>
      <c r="F908" s="46">
        <f ca="1">INDIRECT(ADDRESS(ROW(),COLUMN()-2,4))*INDIRECT(ADDRESS(ROW(),COLUMN()-1,4))</f>
        <v>7280</v>
      </c>
    </row>
    <row r="909" spans="1:6" ht="16.5">
      <c r="A909" s="36"/>
      <c r="B909" s="36"/>
      <c r="C909" s="36"/>
      <c r="D909" s="36"/>
      <c r="E909" s="47" t="s">
        <v>50</v>
      </c>
      <c r="F909" s="48">
        <f ca="1">SUM(Table76[MONTO TOTAL ESTIMADO])</f>
        <v>7280</v>
      </c>
    </row>
    <row r="910" spans="1:6" ht="17.25" thickBot="1">
      <c r="A910" s="36"/>
      <c r="B910" s="36"/>
      <c r="C910" s="36"/>
      <c r="D910" s="36"/>
      <c r="E910" s="36"/>
      <c r="F910" s="36"/>
    </row>
    <row r="911" spans="1:6" ht="34.5" thickBot="1">
      <c r="A911" s="1" t="s">
        <v>0</v>
      </c>
      <c r="B911" s="1" t="s">
        <v>1</v>
      </c>
      <c r="C911" s="1" t="s">
        <v>2</v>
      </c>
      <c r="D911" s="1" t="s">
        <v>3</v>
      </c>
      <c r="E911" s="1" t="s">
        <v>4</v>
      </c>
      <c r="F911" s="1" t="s">
        <v>5</v>
      </c>
    </row>
    <row r="912" spans="1:6" ht="15.75" thickBot="1">
      <c r="A912" s="2" t="s">
        <v>196</v>
      </c>
      <c r="B912" s="2" t="s">
        <v>197</v>
      </c>
      <c r="C912" s="2" t="s">
        <v>8</v>
      </c>
      <c r="D912" s="2" t="s">
        <v>62</v>
      </c>
      <c r="E912" s="2" t="s">
        <v>42</v>
      </c>
      <c r="F912" s="2"/>
    </row>
    <row r="913" spans="1:6" ht="15.75" thickBot="1">
      <c r="A913" s="3" t="s">
        <v>11</v>
      </c>
      <c r="B913" s="4" t="s">
        <v>12</v>
      </c>
      <c r="C913" s="37">
        <v>43314</v>
      </c>
      <c r="D913" s="3" t="s">
        <v>13</v>
      </c>
      <c r="E913" s="38" t="s">
        <v>14</v>
      </c>
      <c r="F913" s="39"/>
    </row>
    <row r="914" spans="1:6" ht="15.75" thickBot="1">
      <c r="A914" s="6"/>
      <c r="B914" s="4" t="s">
        <v>15</v>
      </c>
      <c r="C914" s="40">
        <f>IF(C913="","",IF(AND(MONTH(C913)&gt;=1,MONTH(C913)&lt;=3),1,IF(AND(MONTH(C913)&gt;=4,MONTH(C913)&lt;=6),2,IF(AND(MONTH(C913)&gt;=7,MONTH(C913)&lt;=9),3,4))))</f>
        <v>3</v>
      </c>
      <c r="D914" s="6"/>
      <c r="E914" s="38" t="s">
        <v>16</v>
      </c>
      <c r="F914" s="39"/>
    </row>
    <row r="915" spans="1:6" ht="15.75" thickBot="1">
      <c r="A915" s="6"/>
      <c r="B915" s="4" t="s">
        <v>17</v>
      </c>
      <c r="C915" s="37">
        <v>43315</v>
      </c>
      <c r="D915" s="6"/>
      <c r="E915" s="38" t="s">
        <v>18</v>
      </c>
      <c r="F915" s="39"/>
    </row>
    <row r="916" spans="1:6" ht="15.75" thickBot="1">
      <c r="A916" s="6"/>
      <c r="B916" s="4" t="s">
        <v>15</v>
      </c>
      <c r="C916" s="40">
        <f>IF(C915="","",IF(AND(MONTH(C915)&gt;=1,MONTH(C915)&lt;=3),1,IF(AND(MONTH(C915)&gt;=4,MONTH(C915)&lt;=6),2,IF(AND(MONTH(C915)&gt;=7,MONTH(C915)&lt;=9),3,4))))</f>
        <v>3</v>
      </c>
      <c r="D916" s="6"/>
      <c r="E916" s="38" t="s">
        <v>19</v>
      </c>
      <c r="F916" s="39"/>
    </row>
    <row r="917" spans="1:6" ht="17.25" thickBot="1">
      <c r="A917" s="36"/>
      <c r="B917" s="36"/>
      <c r="C917" s="36"/>
      <c r="D917" s="36"/>
      <c r="E917" s="36"/>
      <c r="F917" s="36"/>
    </row>
    <row r="918" spans="1:6" ht="15.75" thickBot="1">
      <c r="A918" s="41" t="s">
        <v>43</v>
      </c>
      <c r="B918" s="41" t="s">
        <v>44</v>
      </c>
      <c r="C918" s="41" t="s">
        <v>45</v>
      </c>
      <c r="D918" s="41" t="s">
        <v>46</v>
      </c>
      <c r="E918" s="41" t="s">
        <v>47</v>
      </c>
      <c r="F918" s="41" t="s">
        <v>48</v>
      </c>
    </row>
    <row r="919" spans="1:6">
      <c r="A919" s="42" t="s">
        <v>198</v>
      </c>
      <c r="B919" s="43" t="str">
        <f ca="1">IFERROR(INDEX(UNSPSCDes,MATCH(INDIRECT(ADDRESS(ROW(),COLUMN()-1,4)),UNSPSCCode,0)),IF(INDIRECT(ADDRESS(ROW(),COLUMN()-1,4))="46191601","Extintores",""))</f>
        <v>Extintores</v>
      </c>
      <c r="C919" s="44" t="str">
        <f>IFERROR(VLOOKUP("UD",'[1]Informacion '!P:Q,2,FALSE),"")</f>
        <v>Unidad</v>
      </c>
      <c r="D919" s="42">
        <v>25</v>
      </c>
      <c r="E919" s="45">
        <v>1616</v>
      </c>
      <c r="F919" s="46">
        <f ca="1">INDIRECT(ADDRESS(ROW(),COLUMN()-2,4))*INDIRECT(ADDRESS(ROW(),COLUMN()-1,4))</f>
        <v>40400</v>
      </c>
    </row>
    <row r="920" spans="1:6" ht="16.5">
      <c r="A920" s="36"/>
      <c r="B920" s="36"/>
      <c r="C920" s="36"/>
      <c r="D920" s="36"/>
      <c r="E920" s="47" t="s">
        <v>50</v>
      </c>
      <c r="F920" s="48">
        <f ca="1">SUM(Table77[MONTO TOTAL ESTIMADO])</f>
        <v>40400</v>
      </c>
    </row>
    <row r="921" spans="1:6" ht="17.25" thickBot="1">
      <c r="A921" s="36"/>
      <c r="B921" s="36"/>
      <c r="C921" s="36"/>
      <c r="D921" s="36"/>
      <c r="E921" s="36"/>
      <c r="F921" s="36"/>
    </row>
    <row r="922" spans="1:6" ht="34.5" thickBot="1">
      <c r="A922" s="1" t="s">
        <v>0</v>
      </c>
      <c r="B922" s="1" t="s">
        <v>1</v>
      </c>
      <c r="C922" s="1" t="s">
        <v>2</v>
      </c>
      <c r="D922" s="1" t="s">
        <v>3</v>
      </c>
      <c r="E922" s="1" t="s">
        <v>4</v>
      </c>
      <c r="F922" s="1" t="s">
        <v>5</v>
      </c>
    </row>
    <row r="923" spans="1:6" ht="15.75" thickBot="1">
      <c r="A923" s="2" t="s">
        <v>199</v>
      </c>
      <c r="B923" s="2" t="s">
        <v>199</v>
      </c>
      <c r="C923" s="2" t="s">
        <v>8</v>
      </c>
      <c r="D923" s="2" t="s">
        <v>62</v>
      </c>
      <c r="E923" s="2" t="s">
        <v>63</v>
      </c>
      <c r="F923" s="2"/>
    </row>
    <row r="924" spans="1:6" ht="15.75" thickBot="1">
      <c r="A924" s="3" t="s">
        <v>11</v>
      </c>
      <c r="B924" s="4" t="s">
        <v>12</v>
      </c>
      <c r="C924" s="37">
        <v>43390</v>
      </c>
      <c r="D924" s="3" t="s">
        <v>13</v>
      </c>
      <c r="E924" s="38" t="s">
        <v>14</v>
      </c>
      <c r="F924" s="39"/>
    </row>
    <row r="925" spans="1:6" ht="15.75" thickBot="1">
      <c r="A925" s="6"/>
      <c r="B925" s="4" t="s">
        <v>15</v>
      </c>
      <c r="C925" s="40">
        <f>IF(C924="","",IF(AND(MONTH(C924)&gt;=1,MONTH(C924)&lt;=3),1,IF(AND(MONTH(C924)&gt;=4,MONTH(C924)&lt;=6),2,IF(AND(MONTH(C924)&gt;=7,MONTH(C924)&lt;=9),3,4))))</f>
        <v>4</v>
      </c>
      <c r="D925" s="6"/>
      <c r="E925" s="38" t="s">
        <v>16</v>
      </c>
      <c r="F925" s="39"/>
    </row>
    <row r="926" spans="1:6" ht="15.75" thickBot="1">
      <c r="A926" s="6"/>
      <c r="B926" s="4" t="s">
        <v>17</v>
      </c>
      <c r="C926" s="37">
        <v>43391</v>
      </c>
      <c r="D926" s="6"/>
      <c r="E926" s="38" t="s">
        <v>18</v>
      </c>
      <c r="F926" s="39"/>
    </row>
    <row r="927" spans="1:6" ht="15.75" thickBot="1">
      <c r="A927" s="6"/>
      <c r="B927" s="4" t="s">
        <v>15</v>
      </c>
      <c r="C927" s="40">
        <f>IF(C926="","",IF(AND(MONTH(C926)&gt;=1,MONTH(C926)&lt;=3),1,IF(AND(MONTH(C926)&gt;=4,MONTH(C926)&lt;=6),2,IF(AND(MONTH(C926)&gt;=7,MONTH(C926)&lt;=9),3,4))))</f>
        <v>4</v>
      </c>
      <c r="D927" s="6"/>
      <c r="E927" s="38" t="s">
        <v>19</v>
      </c>
      <c r="F927" s="39"/>
    </row>
    <row r="928" spans="1:6" ht="17.25" thickBot="1">
      <c r="A928" s="36"/>
      <c r="B928" s="36"/>
      <c r="C928" s="36"/>
      <c r="D928" s="36"/>
      <c r="E928" s="36"/>
      <c r="F928" s="36"/>
    </row>
    <row r="929" spans="1:6" ht="15.75" thickBot="1">
      <c r="A929" s="41" t="s">
        <v>43</v>
      </c>
      <c r="B929" s="41" t="s">
        <v>44</v>
      </c>
      <c r="C929" s="41" t="s">
        <v>45</v>
      </c>
      <c r="D929" s="41" t="s">
        <v>46</v>
      </c>
      <c r="E929" s="41" t="s">
        <v>47</v>
      </c>
      <c r="F929" s="41" t="s">
        <v>48</v>
      </c>
    </row>
    <row r="930" spans="1:6" ht="33.75">
      <c r="A930" s="42" t="s">
        <v>200</v>
      </c>
      <c r="B930" s="43" t="str">
        <f ca="1">IFERROR(INDEX(UNSPSCDes,MATCH(INDIRECT(ADDRESS(ROW(),COLUMN()-1,4)),UNSPSCCode,0)),IF(INDIRECT(ADDRESS(ROW(),COLUMN()-1,4))="72102103","Servicios de exterminación o fumigación",""))</f>
        <v>Servicios de exterminación o fumigación</v>
      </c>
      <c r="C930" s="44" t="str">
        <f>IFERROR(VLOOKUP("UD",'[1]Informacion '!P:Q,2,FALSE),"")</f>
        <v>Unidad</v>
      </c>
      <c r="D930" s="42">
        <v>2</v>
      </c>
      <c r="E930" s="45">
        <v>40000</v>
      </c>
      <c r="F930" s="46">
        <f ca="1">INDIRECT(ADDRESS(ROW(),COLUMN()-2,4))*INDIRECT(ADDRESS(ROW(),COLUMN()-1,4))</f>
        <v>80000</v>
      </c>
    </row>
    <row r="931" spans="1:6" ht="16.5">
      <c r="A931" s="36"/>
      <c r="B931" s="36"/>
      <c r="C931" s="36"/>
      <c r="D931" s="36"/>
      <c r="E931" s="47" t="s">
        <v>50</v>
      </c>
      <c r="F931" s="48">
        <f ca="1">SUM(Table78[MONTO TOTAL ESTIMADO])</f>
        <v>80000</v>
      </c>
    </row>
    <row r="932" spans="1:6" ht="17.25" thickBot="1">
      <c r="A932" s="36"/>
      <c r="B932" s="36"/>
      <c r="C932" s="36"/>
      <c r="D932" s="36"/>
      <c r="E932" s="36"/>
      <c r="F932" s="36"/>
    </row>
    <row r="933" spans="1:6" ht="34.5" thickBot="1">
      <c r="A933" s="1" t="s">
        <v>0</v>
      </c>
      <c r="B933" s="1" t="s">
        <v>1</v>
      </c>
      <c r="C933" s="1" t="s">
        <v>2</v>
      </c>
      <c r="D933" s="1" t="s">
        <v>3</v>
      </c>
      <c r="E933" s="1" t="s">
        <v>4</v>
      </c>
      <c r="F933" s="1" t="s">
        <v>5</v>
      </c>
    </row>
    <row r="934" spans="1:6" ht="15.75" thickBot="1">
      <c r="A934" s="2" t="s">
        <v>201</v>
      </c>
      <c r="B934" s="2" t="s">
        <v>202</v>
      </c>
      <c r="C934" s="2" t="s">
        <v>40</v>
      </c>
      <c r="D934" s="2" t="s">
        <v>62</v>
      </c>
      <c r="E934" s="2" t="s">
        <v>42</v>
      </c>
      <c r="F934" s="2"/>
    </row>
    <row r="935" spans="1:6" ht="15.75" thickBot="1">
      <c r="A935" s="3" t="s">
        <v>11</v>
      </c>
      <c r="B935" s="4" t="s">
        <v>12</v>
      </c>
      <c r="C935" s="37">
        <v>43266</v>
      </c>
      <c r="D935" s="3" t="s">
        <v>13</v>
      </c>
      <c r="E935" s="38" t="s">
        <v>14</v>
      </c>
      <c r="F935" s="39"/>
    </row>
    <row r="936" spans="1:6" ht="15.75" thickBot="1">
      <c r="A936" s="6"/>
      <c r="B936" s="4" t="s">
        <v>15</v>
      </c>
      <c r="C936" s="40">
        <f>IF(C935="","",IF(AND(MONTH(C935)&gt;=1,MONTH(C935)&lt;=3),1,IF(AND(MONTH(C935)&gt;=4,MONTH(C935)&lt;=6),2,IF(AND(MONTH(C935)&gt;=7,MONTH(C935)&lt;=9),3,4))))</f>
        <v>2</v>
      </c>
      <c r="D936" s="6"/>
      <c r="E936" s="38" t="s">
        <v>16</v>
      </c>
      <c r="F936" s="39"/>
    </row>
    <row r="937" spans="1:6" ht="15.75" thickBot="1">
      <c r="A937" s="6"/>
      <c r="B937" s="4" t="s">
        <v>17</v>
      </c>
      <c r="C937" s="37">
        <v>43267</v>
      </c>
      <c r="D937" s="6"/>
      <c r="E937" s="38" t="s">
        <v>18</v>
      </c>
      <c r="F937" s="39"/>
    </row>
    <row r="938" spans="1:6" ht="15.75" thickBot="1">
      <c r="A938" s="6"/>
      <c r="B938" s="4" t="s">
        <v>15</v>
      </c>
      <c r="C938" s="40">
        <f>IF(C937="","",IF(AND(MONTH(C937)&gt;=1,MONTH(C937)&lt;=3),1,IF(AND(MONTH(C937)&gt;=4,MONTH(C937)&lt;=6),2,IF(AND(MONTH(C937)&gt;=7,MONTH(C937)&lt;=9),3,4))))</f>
        <v>2</v>
      </c>
      <c r="D938" s="6"/>
      <c r="E938" s="38" t="s">
        <v>19</v>
      </c>
      <c r="F938" s="39"/>
    </row>
    <row r="939" spans="1:6" ht="17.25" thickBot="1">
      <c r="A939" s="36"/>
      <c r="B939" s="36"/>
      <c r="C939" s="36"/>
      <c r="D939" s="36"/>
      <c r="E939" s="36"/>
      <c r="F939" s="36"/>
    </row>
    <row r="940" spans="1:6" ht="15.75" thickBot="1">
      <c r="A940" s="41" t="s">
        <v>43</v>
      </c>
      <c r="B940" s="41" t="s">
        <v>44</v>
      </c>
      <c r="C940" s="41" t="s">
        <v>45</v>
      </c>
      <c r="D940" s="41" t="s">
        <v>46</v>
      </c>
      <c r="E940" s="41" t="s">
        <v>47</v>
      </c>
      <c r="F940" s="41" t="s">
        <v>48</v>
      </c>
    </row>
    <row r="941" spans="1:6">
      <c r="A941" s="42" t="s">
        <v>203</v>
      </c>
      <c r="B941" s="43" t="str">
        <f ca="1">IFERROR(INDEX(UNSPSCDes,MATCH(INDIRECT(ADDRESS(ROW(),COLUMN()-1,4)),UNSPSCCode,0)),IF(INDIRECT(ADDRESS(ROW(),COLUMN()-1,4))="44103004","Fusores",""))</f>
        <v>Fusores</v>
      </c>
      <c r="C941" s="44" t="str">
        <f>IFERROR(VLOOKUP("UD",'[1]Informacion '!P:Q,2,FALSE),"")</f>
        <v>Unidad</v>
      </c>
      <c r="D941" s="42">
        <v>2</v>
      </c>
      <c r="E941" s="45">
        <v>18000</v>
      </c>
      <c r="F941" s="46">
        <f ca="1">INDIRECT(ADDRESS(ROW(),COLUMN()-2,4))*INDIRECT(ADDRESS(ROW(),COLUMN()-1,4))</f>
        <v>36000</v>
      </c>
    </row>
    <row r="942" spans="1:6" ht="16.5">
      <c r="A942" s="36"/>
      <c r="B942" s="36"/>
      <c r="C942" s="36"/>
      <c r="D942" s="36"/>
      <c r="E942" s="47" t="s">
        <v>50</v>
      </c>
      <c r="F942" s="48">
        <f ca="1">SUM(Table79[MONTO TOTAL ESTIMADO])</f>
        <v>36000</v>
      </c>
    </row>
    <row r="943" spans="1:6" ht="17.25" thickBot="1">
      <c r="A943" s="36"/>
      <c r="B943" s="36"/>
      <c r="C943" s="36"/>
      <c r="D943" s="36"/>
      <c r="E943" s="36"/>
      <c r="F943" s="36"/>
    </row>
    <row r="944" spans="1:6" ht="34.5" thickBot="1">
      <c r="A944" s="1" t="s">
        <v>0</v>
      </c>
      <c r="B944" s="1" t="s">
        <v>1</v>
      </c>
      <c r="C944" s="1" t="s">
        <v>2</v>
      </c>
      <c r="D944" s="1" t="s">
        <v>3</v>
      </c>
      <c r="E944" s="1" t="s">
        <v>4</v>
      </c>
      <c r="F944" s="1" t="s">
        <v>5</v>
      </c>
    </row>
    <row r="945" spans="1:6" ht="15.75" thickBot="1">
      <c r="A945" s="2" t="s">
        <v>204</v>
      </c>
      <c r="B945" s="2" t="s">
        <v>205</v>
      </c>
      <c r="C945" s="2" t="s">
        <v>8</v>
      </c>
      <c r="D945" s="2" t="s">
        <v>62</v>
      </c>
      <c r="E945" s="2" t="s">
        <v>63</v>
      </c>
      <c r="F945" s="2"/>
    </row>
    <row r="946" spans="1:6" ht="15.75" thickBot="1">
      <c r="A946" s="3" t="s">
        <v>11</v>
      </c>
      <c r="B946" s="4" t="s">
        <v>12</v>
      </c>
      <c r="C946" s="37">
        <v>43348</v>
      </c>
      <c r="D946" s="3" t="s">
        <v>13</v>
      </c>
      <c r="E946" s="38" t="s">
        <v>14</v>
      </c>
      <c r="F946" s="39"/>
    </row>
    <row r="947" spans="1:6" ht="15.75" thickBot="1">
      <c r="A947" s="6"/>
      <c r="B947" s="4" t="s">
        <v>15</v>
      </c>
      <c r="C947" s="40">
        <f>IF(C946="","",IF(AND(MONTH(C946)&gt;=1,MONTH(C946)&lt;=3),1,IF(AND(MONTH(C946)&gt;=4,MONTH(C946)&lt;=6),2,IF(AND(MONTH(C946)&gt;=7,MONTH(C946)&lt;=9),3,4))))</f>
        <v>3</v>
      </c>
      <c r="D947" s="6"/>
      <c r="E947" s="38" t="s">
        <v>16</v>
      </c>
      <c r="F947" s="39"/>
    </row>
    <row r="948" spans="1:6" ht="15.75" thickBot="1">
      <c r="A948" s="6"/>
      <c r="B948" s="4" t="s">
        <v>17</v>
      </c>
      <c r="C948" s="37">
        <v>43349</v>
      </c>
      <c r="D948" s="6"/>
      <c r="E948" s="38" t="s">
        <v>18</v>
      </c>
      <c r="F948" s="39"/>
    </row>
    <row r="949" spans="1:6" ht="15.75" thickBot="1">
      <c r="A949" s="6"/>
      <c r="B949" s="4" t="s">
        <v>15</v>
      </c>
      <c r="C949" s="40">
        <f>IF(C948="","",IF(AND(MONTH(C948)&gt;=1,MONTH(C948)&lt;=3),1,IF(AND(MONTH(C948)&gt;=4,MONTH(C948)&lt;=6),2,IF(AND(MONTH(C948)&gt;=7,MONTH(C948)&lt;=9),3,4))))</f>
        <v>3</v>
      </c>
      <c r="D949" s="6"/>
      <c r="E949" s="38" t="s">
        <v>19</v>
      </c>
      <c r="F949" s="39"/>
    </row>
    <row r="950" spans="1:6" ht="17.25" thickBot="1">
      <c r="A950" s="36"/>
      <c r="B950" s="36"/>
      <c r="C950" s="36"/>
      <c r="D950" s="36"/>
      <c r="E950" s="36"/>
      <c r="F950" s="36"/>
    </row>
    <row r="951" spans="1:6" ht="15.75" thickBot="1">
      <c r="A951" s="41" t="s">
        <v>43</v>
      </c>
      <c r="B951" s="41" t="s">
        <v>44</v>
      </c>
      <c r="C951" s="41" t="s">
        <v>45</v>
      </c>
      <c r="D951" s="41" t="s">
        <v>46</v>
      </c>
      <c r="E951" s="41" t="s">
        <v>47</v>
      </c>
      <c r="F951" s="41" t="s">
        <v>48</v>
      </c>
    </row>
    <row r="952" spans="1:6" ht="45">
      <c r="A952" s="42" t="s">
        <v>108</v>
      </c>
      <c r="B952" s="43" t="str">
        <f ca="1">IFERROR(INDEX(UNSPSCDes,MATCH(INDIRECT(ADDRESS(ROW(),COLUMN()-1,4)),UNSPSCCode,0)),IF(INDIRECT(ADDRESS(ROW(),COLUMN()-1,4))="52141502","Hornos microondas para uso doméstico",""))</f>
        <v>Hornos microondas para uso doméstico</v>
      </c>
      <c r="C952" s="44" t="str">
        <f>IFERROR(VLOOKUP("UD",'[1]Informacion '!P:Q,2,FALSE),"")</f>
        <v>Unidad</v>
      </c>
      <c r="D952" s="42">
        <v>4</v>
      </c>
      <c r="E952" s="45">
        <v>1500</v>
      </c>
      <c r="F952" s="46">
        <f ca="1">INDIRECT(ADDRESS(ROW(),COLUMN()-2,4))*INDIRECT(ADDRESS(ROW(),COLUMN()-1,4))</f>
        <v>6000</v>
      </c>
    </row>
    <row r="953" spans="1:6" ht="16.5">
      <c r="A953" s="36"/>
      <c r="B953" s="36"/>
      <c r="C953" s="36"/>
      <c r="D953" s="36"/>
      <c r="E953" s="47" t="s">
        <v>50</v>
      </c>
      <c r="F953" s="48">
        <f ca="1">SUM(Table80[MONTO TOTAL ESTIMADO])</f>
        <v>6000</v>
      </c>
    </row>
    <row r="954" spans="1:6" ht="17.25" thickBot="1">
      <c r="A954" s="36"/>
      <c r="B954" s="36"/>
      <c r="C954" s="36"/>
      <c r="D954" s="36"/>
      <c r="E954" s="36"/>
      <c r="F954" s="36"/>
    </row>
    <row r="955" spans="1:6" ht="34.5" thickBot="1">
      <c r="A955" s="1" t="s">
        <v>0</v>
      </c>
      <c r="B955" s="1" t="s">
        <v>1</v>
      </c>
      <c r="C955" s="1" t="s">
        <v>2</v>
      </c>
      <c r="D955" s="1" t="s">
        <v>3</v>
      </c>
      <c r="E955" s="1" t="s">
        <v>4</v>
      </c>
      <c r="F955" s="1" t="s">
        <v>5</v>
      </c>
    </row>
    <row r="956" spans="1:6" ht="15.75" thickBot="1">
      <c r="A956" s="2" t="s">
        <v>115</v>
      </c>
      <c r="B956" s="2" t="s">
        <v>116</v>
      </c>
      <c r="C956" s="2" t="s">
        <v>8</v>
      </c>
      <c r="D956" s="2" t="s">
        <v>62</v>
      </c>
      <c r="E956" s="2" t="s">
        <v>63</v>
      </c>
      <c r="F956" s="2"/>
    </row>
    <row r="957" spans="1:6" ht="15.75" thickBot="1">
      <c r="A957" s="3" t="s">
        <v>11</v>
      </c>
      <c r="B957" s="4" t="s">
        <v>12</v>
      </c>
      <c r="C957" s="37">
        <v>43435</v>
      </c>
      <c r="D957" s="3" t="s">
        <v>13</v>
      </c>
      <c r="E957" s="38" t="s">
        <v>14</v>
      </c>
      <c r="F957" s="39"/>
    </row>
    <row r="958" spans="1:6" ht="15.75" thickBot="1">
      <c r="A958" s="6"/>
      <c r="B958" s="4" t="s">
        <v>15</v>
      </c>
      <c r="C958" s="40">
        <f>IF(C957="","",IF(AND(MONTH(C957)&gt;=1,MONTH(C957)&lt;=3),1,IF(AND(MONTH(C957)&gt;=4,MONTH(C957)&lt;=6),2,IF(AND(MONTH(C957)&gt;=7,MONTH(C957)&lt;=9),3,4))))</f>
        <v>4</v>
      </c>
      <c r="D958" s="6"/>
      <c r="E958" s="38" t="s">
        <v>16</v>
      </c>
      <c r="F958" s="39"/>
    </row>
    <row r="959" spans="1:6" ht="15.75" thickBot="1">
      <c r="A959" s="6"/>
      <c r="B959" s="4" t="s">
        <v>17</v>
      </c>
      <c r="C959" s="37">
        <v>43438</v>
      </c>
      <c r="D959" s="6"/>
      <c r="E959" s="38" t="s">
        <v>18</v>
      </c>
      <c r="F959" s="39"/>
    </row>
    <row r="960" spans="1:6" ht="15.75" thickBot="1">
      <c r="A960" s="6"/>
      <c r="B960" s="4" t="s">
        <v>15</v>
      </c>
      <c r="C960" s="40">
        <f>IF(C959="","",IF(AND(MONTH(C959)&gt;=1,MONTH(C959)&lt;=3),1,IF(AND(MONTH(C959)&gt;=4,MONTH(C959)&lt;=6),2,IF(AND(MONTH(C959)&gt;=7,MONTH(C959)&lt;=9),3,4))))</f>
        <v>4</v>
      </c>
      <c r="D960" s="6"/>
      <c r="E960" s="38" t="s">
        <v>19</v>
      </c>
      <c r="F960" s="39"/>
    </row>
    <row r="961" spans="1:6" ht="17.25" thickBot="1">
      <c r="A961" s="36"/>
      <c r="B961" s="36"/>
      <c r="C961" s="36"/>
      <c r="D961" s="36"/>
      <c r="E961" s="36"/>
      <c r="F961" s="36"/>
    </row>
    <row r="962" spans="1:6" ht="15.75" thickBot="1">
      <c r="A962" s="41" t="s">
        <v>43</v>
      </c>
      <c r="B962" s="41" t="s">
        <v>44</v>
      </c>
      <c r="C962" s="41" t="s">
        <v>45</v>
      </c>
      <c r="D962" s="41" t="s">
        <v>46</v>
      </c>
      <c r="E962" s="41" t="s">
        <v>47</v>
      </c>
      <c r="F962" s="41" t="s">
        <v>48</v>
      </c>
    </row>
    <row r="963" spans="1:6" ht="22.5">
      <c r="A963" s="42" t="s">
        <v>206</v>
      </c>
      <c r="B963" s="43" t="str">
        <f ca="1">IFERROR(INDEX(UNSPSCDes,MATCH(INDIRECT(ADDRESS(ROW(),COLUMN()-1,4)),UNSPSCCode,0)),IF(INDIRECT(ADDRESS(ROW(),COLUMN()-1,4))="26111601","Generadores diesel",""))</f>
        <v>Generadores diesel</v>
      </c>
      <c r="C963" s="44" t="str">
        <f>IFERROR(VLOOKUP("UD",'[1]Informacion '!P:Q,2,FALSE),"")</f>
        <v>Unidad</v>
      </c>
      <c r="D963" s="42">
        <v>2</v>
      </c>
      <c r="E963" s="45">
        <v>13000</v>
      </c>
      <c r="F963" s="46">
        <f ca="1">INDIRECT(ADDRESS(ROW(),COLUMN()-2,4))*INDIRECT(ADDRESS(ROW(),COLUMN()-1,4))</f>
        <v>26000</v>
      </c>
    </row>
    <row r="964" spans="1:6" ht="16.5">
      <c r="A964" s="36"/>
      <c r="B964" s="36"/>
      <c r="C964" s="36"/>
      <c r="D964" s="36"/>
      <c r="E964" s="47" t="s">
        <v>50</v>
      </c>
      <c r="F964" s="48">
        <f ca="1">SUM(Table81[MONTO TOTAL ESTIMADO])</f>
        <v>26000</v>
      </c>
    </row>
    <row r="965" spans="1:6" ht="17.25" thickBot="1">
      <c r="A965" s="36"/>
      <c r="B965" s="36"/>
      <c r="C965" s="36"/>
      <c r="D965" s="36"/>
      <c r="E965" s="36"/>
      <c r="F965" s="36"/>
    </row>
    <row r="966" spans="1:6" ht="34.5" thickBot="1">
      <c r="A966" s="1" t="s">
        <v>0</v>
      </c>
      <c r="B966" s="1" t="s">
        <v>1</v>
      </c>
      <c r="C966" s="1" t="s">
        <v>2</v>
      </c>
      <c r="D966" s="1" t="s">
        <v>3</v>
      </c>
      <c r="E966" s="1" t="s">
        <v>4</v>
      </c>
      <c r="F966" s="1" t="s">
        <v>5</v>
      </c>
    </row>
    <row r="967" spans="1:6" ht="15.75" thickBot="1">
      <c r="A967" s="2" t="s">
        <v>112</v>
      </c>
      <c r="B967" s="2" t="s">
        <v>113</v>
      </c>
      <c r="C967" s="2" t="s">
        <v>8</v>
      </c>
      <c r="D967" s="2" t="s">
        <v>62</v>
      </c>
      <c r="E967" s="2" t="s">
        <v>63</v>
      </c>
      <c r="F967" s="2"/>
    </row>
    <row r="968" spans="1:6" ht="15.75" thickBot="1">
      <c r="A968" s="3" t="s">
        <v>11</v>
      </c>
      <c r="B968" s="4" t="s">
        <v>12</v>
      </c>
      <c r="C968" s="37">
        <v>43347</v>
      </c>
      <c r="D968" s="3" t="s">
        <v>13</v>
      </c>
      <c r="E968" s="38" t="s">
        <v>14</v>
      </c>
      <c r="F968" s="39"/>
    </row>
    <row r="969" spans="1:6" ht="15.75" thickBot="1">
      <c r="A969" s="6"/>
      <c r="B969" s="4" t="s">
        <v>15</v>
      </c>
      <c r="C969" s="40">
        <f>IF(C968="","",IF(AND(MONTH(C968)&gt;=1,MONTH(C968)&lt;=3),1,IF(AND(MONTH(C968)&gt;=4,MONTH(C968)&lt;=6),2,IF(AND(MONTH(C968)&gt;=7,MONTH(C968)&lt;=9),3,4))))</f>
        <v>3</v>
      </c>
      <c r="D969" s="6"/>
      <c r="E969" s="38" t="s">
        <v>16</v>
      </c>
      <c r="F969" s="39"/>
    </row>
    <row r="970" spans="1:6" ht="15.75" thickBot="1">
      <c r="A970" s="6"/>
      <c r="B970" s="4" t="s">
        <v>17</v>
      </c>
      <c r="C970" s="37">
        <v>43348</v>
      </c>
      <c r="D970" s="6"/>
      <c r="E970" s="38" t="s">
        <v>18</v>
      </c>
      <c r="F970" s="39"/>
    </row>
    <row r="971" spans="1:6" ht="15.75" thickBot="1">
      <c r="A971" s="6"/>
      <c r="B971" s="4" t="s">
        <v>15</v>
      </c>
      <c r="C971" s="40">
        <f>IF(C970="","",IF(AND(MONTH(C970)&gt;=1,MONTH(C970)&lt;=3),1,IF(AND(MONTH(C970)&gt;=4,MONTH(C970)&lt;=6),2,IF(AND(MONTH(C970)&gt;=7,MONTH(C970)&lt;=9),3,4))))</f>
        <v>3</v>
      </c>
      <c r="D971" s="6"/>
      <c r="E971" s="38" t="s">
        <v>19</v>
      </c>
      <c r="F971" s="39"/>
    </row>
    <row r="972" spans="1:6" ht="17.25" thickBot="1">
      <c r="A972" s="36"/>
      <c r="B972" s="36"/>
      <c r="C972" s="36"/>
      <c r="D972" s="36"/>
      <c r="E972" s="36"/>
      <c r="F972" s="36"/>
    </row>
    <row r="973" spans="1:6" ht="15.75" thickBot="1">
      <c r="A973" s="41" t="s">
        <v>43</v>
      </c>
      <c r="B973" s="41" t="s">
        <v>44</v>
      </c>
      <c r="C973" s="41" t="s">
        <v>45</v>
      </c>
      <c r="D973" s="41" t="s">
        <v>46</v>
      </c>
      <c r="E973" s="41" t="s">
        <v>47</v>
      </c>
      <c r="F973" s="41" t="s">
        <v>48</v>
      </c>
    </row>
    <row r="974" spans="1:6" ht="22.5">
      <c r="A974" s="42" t="s">
        <v>114</v>
      </c>
      <c r="B974" s="43" t="str">
        <f ca="1">IFERROR(INDEX(UNSPSCDes,MATCH(INDIRECT(ADDRESS(ROW(),COLUMN()-1,4)),UNSPSCCode,0)),IF(INDIRECT(ADDRESS(ROW(),COLUMN()-1,4))="44101501","Fotocopiadoras",""))</f>
        <v>Fotocopiadoras</v>
      </c>
      <c r="C974" s="44" t="str">
        <f>IFERROR(VLOOKUP("UD",'[1]Informacion '!P:Q,2,FALSE),"")</f>
        <v>Unidad</v>
      </c>
      <c r="D974" s="42">
        <v>5</v>
      </c>
      <c r="E974" s="45">
        <v>13000</v>
      </c>
      <c r="F974" s="46">
        <f ca="1">INDIRECT(ADDRESS(ROW(),COLUMN()-2,4))*INDIRECT(ADDRESS(ROW(),COLUMN()-1,4))</f>
        <v>65000</v>
      </c>
    </row>
    <row r="975" spans="1:6" ht="16.5">
      <c r="A975" s="36"/>
      <c r="B975" s="36"/>
      <c r="C975" s="36"/>
      <c r="D975" s="36"/>
      <c r="E975" s="47" t="s">
        <v>50</v>
      </c>
      <c r="F975" s="48">
        <f ca="1">SUM(Table82[MONTO TOTAL ESTIMADO])</f>
        <v>65000</v>
      </c>
    </row>
    <row r="976" spans="1:6" ht="17.25" thickBot="1">
      <c r="A976" s="36"/>
      <c r="B976" s="36"/>
      <c r="C976" s="36"/>
      <c r="D976" s="36"/>
      <c r="E976" s="36"/>
      <c r="F976" s="36"/>
    </row>
    <row r="977" spans="1:6" ht="34.5" thickBot="1">
      <c r="A977" s="1" t="s">
        <v>0</v>
      </c>
      <c r="B977" s="1" t="s">
        <v>1</v>
      </c>
      <c r="C977" s="1" t="s">
        <v>2</v>
      </c>
      <c r="D977" s="1" t="s">
        <v>3</v>
      </c>
      <c r="E977" s="1" t="s">
        <v>4</v>
      </c>
      <c r="F977" s="1" t="s">
        <v>5</v>
      </c>
    </row>
    <row r="978" spans="1:6" ht="15.75" thickBot="1">
      <c r="A978" s="2" t="s">
        <v>109</v>
      </c>
      <c r="B978" s="2" t="s">
        <v>110</v>
      </c>
      <c r="C978" s="2" t="s">
        <v>8</v>
      </c>
      <c r="D978" s="2" t="s">
        <v>53</v>
      </c>
      <c r="E978" s="2" t="s">
        <v>63</v>
      </c>
      <c r="F978" s="2"/>
    </row>
    <row r="979" spans="1:6" ht="15.75" thickBot="1">
      <c r="A979" s="3" t="s">
        <v>11</v>
      </c>
      <c r="B979" s="4" t="s">
        <v>12</v>
      </c>
      <c r="C979" s="37">
        <v>43341</v>
      </c>
      <c r="D979" s="3" t="s">
        <v>13</v>
      </c>
      <c r="E979" s="38" t="s">
        <v>14</v>
      </c>
      <c r="F979" s="39"/>
    </row>
    <row r="980" spans="1:6" ht="15.75" thickBot="1">
      <c r="A980" s="6"/>
      <c r="B980" s="4" t="s">
        <v>15</v>
      </c>
      <c r="C980" s="40">
        <f>IF(C979="","",IF(AND(MONTH(C979)&gt;=1,MONTH(C979)&lt;=3),1,IF(AND(MONTH(C979)&gt;=4,MONTH(C979)&lt;=6),2,IF(AND(MONTH(C979)&gt;=7,MONTH(C979)&lt;=9),3,4))))</f>
        <v>3</v>
      </c>
      <c r="D980" s="6"/>
      <c r="E980" s="38" t="s">
        <v>16</v>
      </c>
      <c r="F980" s="39"/>
    </row>
    <row r="981" spans="1:6" ht="15.75" thickBot="1">
      <c r="A981" s="6"/>
      <c r="B981" s="4" t="s">
        <v>17</v>
      </c>
      <c r="C981" s="37">
        <v>43343</v>
      </c>
      <c r="D981" s="6"/>
      <c r="E981" s="38" t="s">
        <v>18</v>
      </c>
      <c r="F981" s="39"/>
    </row>
    <row r="982" spans="1:6" ht="15.75" thickBot="1">
      <c r="A982" s="6"/>
      <c r="B982" s="4" t="s">
        <v>15</v>
      </c>
      <c r="C982" s="40">
        <f>IF(C981="","",IF(AND(MONTH(C981)&gt;=1,MONTH(C981)&lt;=3),1,IF(AND(MONTH(C981)&gt;=4,MONTH(C981)&lt;=6),2,IF(AND(MONTH(C981)&gt;=7,MONTH(C981)&lt;=9),3,4))))</f>
        <v>3</v>
      </c>
      <c r="D982" s="6"/>
      <c r="E982" s="38" t="s">
        <v>19</v>
      </c>
      <c r="F982" s="39"/>
    </row>
    <row r="983" spans="1:6" ht="17.25" thickBot="1">
      <c r="A983" s="36"/>
      <c r="B983" s="36"/>
      <c r="C983" s="36"/>
      <c r="D983" s="36"/>
      <c r="E983" s="36"/>
      <c r="F983" s="36"/>
    </row>
    <row r="984" spans="1:6" ht="15.75" thickBot="1">
      <c r="A984" s="41" t="s">
        <v>43</v>
      </c>
      <c r="B984" s="41" t="s">
        <v>44</v>
      </c>
      <c r="C984" s="41" t="s">
        <v>45</v>
      </c>
      <c r="D984" s="41" t="s">
        <v>46</v>
      </c>
      <c r="E984" s="41" t="s">
        <v>47</v>
      </c>
      <c r="F984" s="41" t="s">
        <v>48</v>
      </c>
    </row>
    <row r="985" spans="1:6" ht="45">
      <c r="A985" s="42" t="s">
        <v>207</v>
      </c>
      <c r="B985" s="43" t="str">
        <f ca="1">IFERROR(INDEX(UNSPSCDes,MATCH(INDIRECT(ADDRESS(ROW(),COLUMN()-1,4)),UNSPSCCode,0)),IF(INDIRECT(ADDRESS(ROW(),COLUMN()-1,4))="52141510","Aire acondicionado portátil para uso doméstico",""))</f>
        <v>Aire acondicionado portátil para uso doméstico</v>
      </c>
      <c r="C985" s="44" t="str">
        <f>IFERROR(VLOOKUP("UD",'[1]Informacion '!P:Q,2,FALSE),"")</f>
        <v>Unidad</v>
      </c>
      <c r="D985" s="42">
        <v>15</v>
      </c>
      <c r="E985" s="45">
        <v>8000</v>
      </c>
      <c r="F985" s="46">
        <f ca="1">INDIRECT(ADDRESS(ROW(),COLUMN()-2,4))*INDIRECT(ADDRESS(ROW(),COLUMN()-1,4))</f>
        <v>120000</v>
      </c>
    </row>
    <row r="986" spans="1:6" ht="16.5">
      <c r="A986" s="36"/>
      <c r="B986" s="36"/>
      <c r="C986" s="36"/>
      <c r="D986" s="36"/>
      <c r="E986" s="47" t="s">
        <v>50</v>
      </c>
      <c r="F986" s="48">
        <f ca="1">SUM(Table83[MONTO TOTAL ESTIMADO])</f>
        <v>120000</v>
      </c>
    </row>
    <row r="987" spans="1:6" ht="17.25" thickBot="1">
      <c r="A987" s="36"/>
      <c r="B987" s="36"/>
      <c r="C987" s="36"/>
      <c r="D987" s="36"/>
      <c r="E987" s="36"/>
      <c r="F987" s="36"/>
    </row>
    <row r="988" spans="1:6" ht="34.5" thickBot="1">
      <c r="A988" s="1" t="s">
        <v>0</v>
      </c>
      <c r="B988" s="1" t="s">
        <v>1</v>
      </c>
      <c r="C988" s="1" t="s">
        <v>2</v>
      </c>
      <c r="D988" s="1" t="s">
        <v>3</v>
      </c>
      <c r="E988" s="1" t="s">
        <v>4</v>
      </c>
      <c r="F988" s="1" t="s">
        <v>5</v>
      </c>
    </row>
    <row r="989" spans="1:6" ht="45.75" thickBot="1">
      <c r="A989" s="2" t="s">
        <v>208</v>
      </c>
      <c r="B989" s="49" t="s">
        <v>209</v>
      </c>
      <c r="C989" s="2" t="s">
        <v>8</v>
      </c>
      <c r="D989" s="2" t="s">
        <v>41</v>
      </c>
      <c r="E989" s="2" t="s">
        <v>42</v>
      </c>
      <c r="F989" s="2"/>
    </row>
    <row r="990" spans="1:6" ht="15.75" thickBot="1">
      <c r="A990" s="3" t="s">
        <v>11</v>
      </c>
      <c r="B990" s="4" t="s">
        <v>12</v>
      </c>
      <c r="C990" s="37">
        <v>43305</v>
      </c>
      <c r="D990" s="3" t="s">
        <v>13</v>
      </c>
      <c r="E990" s="38" t="s">
        <v>14</v>
      </c>
      <c r="F990" s="39"/>
    </row>
    <row r="991" spans="1:6" ht="15.75" thickBot="1">
      <c r="A991" s="6"/>
      <c r="B991" s="4" t="s">
        <v>15</v>
      </c>
      <c r="C991" s="40">
        <f>IF(C990="","",IF(AND(MONTH(C990)&gt;=1,MONTH(C990)&lt;=3),1,IF(AND(MONTH(C990)&gt;=4,MONTH(C990)&lt;=6),2,IF(AND(MONTH(C990)&gt;=7,MONTH(C990)&lt;=9),3,4))))</f>
        <v>3</v>
      </c>
      <c r="D991" s="6"/>
      <c r="E991" s="38" t="s">
        <v>16</v>
      </c>
      <c r="F991" s="39"/>
    </row>
    <row r="992" spans="1:6" ht="15.75" thickBot="1">
      <c r="A992" s="6"/>
      <c r="B992" s="4" t="s">
        <v>17</v>
      </c>
      <c r="C992" s="37">
        <v>43306</v>
      </c>
      <c r="D992" s="6"/>
      <c r="E992" s="38" t="s">
        <v>18</v>
      </c>
      <c r="F992" s="39"/>
    </row>
    <row r="993" spans="1:6" ht="15.75" thickBot="1">
      <c r="A993" s="6"/>
      <c r="B993" s="4" t="s">
        <v>15</v>
      </c>
      <c r="C993" s="40">
        <f>IF(C992="","",IF(AND(MONTH(C992)&gt;=1,MONTH(C992)&lt;=3),1,IF(AND(MONTH(C992)&gt;=4,MONTH(C992)&lt;=6),2,IF(AND(MONTH(C992)&gt;=7,MONTH(C992)&lt;=9),3,4))))</f>
        <v>3</v>
      </c>
      <c r="D993" s="6"/>
      <c r="E993" s="38" t="s">
        <v>19</v>
      </c>
      <c r="F993" s="39"/>
    </row>
    <row r="994" spans="1:6" ht="17.25" thickBot="1">
      <c r="A994" s="36"/>
      <c r="B994" s="36"/>
      <c r="C994" s="36"/>
      <c r="D994" s="36"/>
      <c r="E994" s="36"/>
      <c r="F994" s="36"/>
    </row>
    <row r="995" spans="1:6" ht="15.75" thickBot="1">
      <c r="A995" s="41" t="s">
        <v>43</v>
      </c>
      <c r="B995" s="41" t="s">
        <v>44</v>
      </c>
      <c r="C995" s="41" t="s">
        <v>45</v>
      </c>
      <c r="D995" s="41" t="s">
        <v>46</v>
      </c>
      <c r="E995" s="41" t="s">
        <v>47</v>
      </c>
      <c r="F995" s="41" t="s">
        <v>48</v>
      </c>
    </row>
    <row r="996" spans="1:6">
      <c r="A996" s="42" t="s">
        <v>210</v>
      </c>
      <c r="B996" s="43" t="str">
        <f ca="1">IFERROR(INDEX(UNSPSCDes,MATCH(INDIRECT(ADDRESS(ROW(),COLUMN()-1,4)),UNSPSCCode,0)),IF(INDIRECT(ADDRESS(ROW(),COLUMN()-1,4))="25101501","Minibuses",""))</f>
        <v>Minibuses</v>
      </c>
      <c r="C996" s="44" t="str">
        <f>IFERROR(VLOOKUP("UD",'[1]Informacion '!P:Q,2,FALSE),"")</f>
        <v>Unidad</v>
      </c>
      <c r="D996" s="42">
        <v>1</v>
      </c>
      <c r="E996" s="45">
        <v>100000</v>
      </c>
      <c r="F996" s="46">
        <f ca="1">INDIRECT(ADDRESS(ROW(),COLUMN()-2,4))*INDIRECT(ADDRESS(ROW(),COLUMN()-1,4))</f>
        <v>100000</v>
      </c>
    </row>
    <row r="997" spans="1:6" ht="16.5">
      <c r="A997" s="36"/>
      <c r="B997" s="36"/>
      <c r="C997" s="36"/>
      <c r="D997" s="36"/>
      <c r="E997" s="47" t="s">
        <v>50</v>
      </c>
      <c r="F997" s="48">
        <f ca="1">SUM(Table84[MONTO TOTAL ESTIMADO])</f>
        <v>100000</v>
      </c>
    </row>
    <row r="998" spans="1:6" ht="17.25" thickBot="1">
      <c r="A998" s="36"/>
      <c r="B998" s="36"/>
      <c r="C998" s="36"/>
      <c r="D998" s="36"/>
      <c r="E998" s="36"/>
      <c r="F998" s="36"/>
    </row>
    <row r="999" spans="1:6" ht="34.5" thickBot="1">
      <c r="A999" s="1" t="s">
        <v>0</v>
      </c>
      <c r="B999" s="1" t="s">
        <v>1</v>
      </c>
      <c r="C999" s="1" t="s">
        <v>2</v>
      </c>
      <c r="D999" s="1" t="s">
        <v>3</v>
      </c>
      <c r="E999" s="1" t="s">
        <v>4</v>
      </c>
      <c r="F999" s="1" t="s">
        <v>5</v>
      </c>
    </row>
    <row r="1000" spans="1:6" ht="15.75" thickBot="1">
      <c r="A1000" s="2" t="s">
        <v>211</v>
      </c>
      <c r="B1000" s="2" t="s">
        <v>212</v>
      </c>
      <c r="C1000" s="2" t="s">
        <v>8</v>
      </c>
      <c r="D1000" s="2" t="s">
        <v>62</v>
      </c>
      <c r="E1000" s="2" t="s">
        <v>42</v>
      </c>
      <c r="F1000" s="2"/>
    </row>
    <row r="1001" spans="1:6" ht="15.75" thickBot="1">
      <c r="A1001" s="3" t="s">
        <v>11</v>
      </c>
      <c r="B1001" s="4" t="s">
        <v>12</v>
      </c>
      <c r="C1001" s="37">
        <v>43355</v>
      </c>
      <c r="D1001" s="3" t="s">
        <v>13</v>
      </c>
      <c r="E1001" s="38" t="s">
        <v>14</v>
      </c>
      <c r="F1001" s="39"/>
    </row>
    <row r="1002" spans="1:6" ht="15.75" thickBot="1">
      <c r="A1002" s="6"/>
      <c r="B1002" s="4" t="s">
        <v>15</v>
      </c>
      <c r="C1002" s="40">
        <f>IF(C1001="","",IF(AND(MONTH(C1001)&gt;=1,MONTH(C1001)&lt;=3),1,IF(AND(MONTH(C1001)&gt;=4,MONTH(C1001)&lt;=6),2,IF(AND(MONTH(C1001)&gt;=7,MONTH(C1001)&lt;=9),3,4))))</f>
        <v>3</v>
      </c>
      <c r="D1002" s="6"/>
      <c r="E1002" s="38" t="s">
        <v>16</v>
      </c>
      <c r="F1002" s="39"/>
    </row>
    <row r="1003" spans="1:6" ht="15.75" thickBot="1">
      <c r="A1003" s="6"/>
      <c r="B1003" s="4" t="s">
        <v>17</v>
      </c>
      <c r="C1003" s="37">
        <v>43356</v>
      </c>
      <c r="D1003" s="6"/>
      <c r="E1003" s="38" t="s">
        <v>18</v>
      </c>
      <c r="F1003" s="39"/>
    </row>
    <row r="1004" spans="1:6" ht="15.75" thickBot="1">
      <c r="A1004" s="6"/>
      <c r="B1004" s="4" t="s">
        <v>15</v>
      </c>
      <c r="C1004" s="40">
        <f>IF(C1003="","",IF(AND(MONTH(C1003)&gt;=1,MONTH(C1003)&lt;=3),1,IF(AND(MONTH(C1003)&gt;=4,MONTH(C1003)&lt;=6),2,IF(AND(MONTH(C1003)&gt;=7,MONTH(C1003)&lt;=9),3,4))))</f>
        <v>3</v>
      </c>
      <c r="D1004" s="6"/>
      <c r="E1004" s="38" t="s">
        <v>19</v>
      </c>
      <c r="F1004" s="39"/>
    </row>
    <row r="1005" spans="1:6" ht="17.25" thickBot="1">
      <c r="A1005" s="36"/>
      <c r="B1005" s="36"/>
      <c r="C1005" s="36"/>
      <c r="D1005" s="36"/>
      <c r="E1005" s="36"/>
      <c r="F1005" s="36"/>
    </row>
    <row r="1006" spans="1:6" ht="15.75" thickBot="1">
      <c r="A1006" s="41" t="s">
        <v>43</v>
      </c>
      <c r="B1006" s="41" t="s">
        <v>44</v>
      </c>
      <c r="C1006" s="41" t="s">
        <v>45</v>
      </c>
      <c r="D1006" s="41" t="s">
        <v>46</v>
      </c>
      <c r="E1006" s="41" t="s">
        <v>47</v>
      </c>
      <c r="F1006" s="41" t="s">
        <v>48</v>
      </c>
    </row>
    <row r="1007" spans="1:6" ht="33.75">
      <c r="A1007" s="42" t="s">
        <v>213</v>
      </c>
      <c r="B1007" s="43" t="str">
        <f ca="1">IFERROR(INDEX(UNSPSCDes,MATCH(INDIRECT(ADDRESS(ROW(),COLUMN()-1,4)),UNSPSCCode,0)),IF(INDIRECT(ADDRESS(ROW(),COLUMN()-1,4))="43221504","Central telefónica interna pbx",""))</f>
        <v>Central telefónica interna pbx</v>
      </c>
      <c r="C1007" s="44" t="str">
        <f>IFERROR(VLOOKUP("UD",'[1]Informacion '!P:Q,2,FALSE),"")</f>
        <v>Unidad</v>
      </c>
      <c r="D1007" s="42">
        <v>1</v>
      </c>
      <c r="E1007" s="45">
        <v>17110</v>
      </c>
      <c r="F1007" s="46">
        <f ca="1">INDIRECT(ADDRESS(ROW(),COLUMN()-2,4))*INDIRECT(ADDRESS(ROW(),COLUMN()-1,4))</f>
        <v>17110</v>
      </c>
    </row>
    <row r="1008" spans="1:6" ht="16.5">
      <c r="A1008" s="36"/>
      <c r="B1008" s="36"/>
      <c r="C1008" s="36"/>
      <c r="D1008" s="36"/>
      <c r="E1008" s="47" t="s">
        <v>50</v>
      </c>
      <c r="F1008" s="48">
        <f ca="1">SUM(Table85[MONTO TOTAL ESTIMADO])</f>
        <v>17110</v>
      </c>
    </row>
    <row r="1009" spans="1:6" ht="17.25" thickBot="1">
      <c r="A1009" s="36"/>
      <c r="B1009" s="36"/>
      <c r="C1009" s="36"/>
      <c r="D1009" s="36"/>
      <c r="E1009" s="36"/>
      <c r="F1009" s="36"/>
    </row>
    <row r="1010" spans="1:6" ht="34.5" thickBot="1">
      <c r="A1010" s="1" t="s">
        <v>0</v>
      </c>
      <c r="B1010" s="1" t="s">
        <v>1</v>
      </c>
      <c r="C1010" s="1" t="s">
        <v>2</v>
      </c>
      <c r="D1010" s="1" t="s">
        <v>3</v>
      </c>
      <c r="E1010" s="1" t="s">
        <v>4</v>
      </c>
      <c r="F1010" s="1" t="s">
        <v>5</v>
      </c>
    </row>
    <row r="1011" spans="1:6" ht="15.75" thickBot="1">
      <c r="A1011" s="2" t="s">
        <v>214</v>
      </c>
      <c r="B1011" s="2" t="s">
        <v>215</v>
      </c>
      <c r="C1011" s="2" t="s">
        <v>8</v>
      </c>
      <c r="D1011" s="2" t="s">
        <v>53</v>
      </c>
      <c r="E1011" s="2" t="s">
        <v>42</v>
      </c>
      <c r="F1011" s="2"/>
    </row>
    <row r="1012" spans="1:6" ht="15.75" thickBot="1">
      <c r="A1012" s="3" t="s">
        <v>11</v>
      </c>
      <c r="B1012" s="4" t="s">
        <v>12</v>
      </c>
      <c r="C1012" s="37">
        <v>43326</v>
      </c>
      <c r="D1012" s="3" t="s">
        <v>13</v>
      </c>
      <c r="E1012" s="38" t="s">
        <v>14</v>
      </c>
      <c r="F1012" s="39"/>
    </row>
    <row r="1013" spans="1:6" ht="15.75" thickBot="1">
      <c r="A1013" s="6"/>
      <c r="B1013" s="4" t="s">
        <v>15</v>
      </c>
      <c r="C1013" s="40">
        <f>IF(C1012="","",IF(AND(MONTH(C1012)&gt;=1,MONTH(C1012)&lt;=3),1,IF(AND(MONTH(C1012)&gt;=4,MONTH(C1012)&lt;=6),2,IF(AND(MONTH(C1012)&gt;=7,MONTH(C1012)&lt;=9),3,4))))</f>
        <v>3</v>
      </c>
      <c r="D1013" s="6"/>
      <c r="E1013" s="38" t="s">
        <v>16</v>
      </c>
      <c r="F1013" s="39"/>
    </row>
    <row r="1014" spans="1:6" ht="15.75" thickBot="1">
      <c r="A1014" s="6"/>
      <c r="B1014" s="4" t="s">
        <v>17</v>
      </c>
      <c r="C1014" s="37">
        <v>43330</v>
      </c>
      <c r="D1014" s="6"/>
      <c r="E1014" s="38" t="s">
        <v>18</v>
      </c>
      <c r="F1014" s="39"/>
    </row>
    <row r="1015" spans="1:6" ht="15.75" thickBot="1">
      <c r="A1015" s="6"/>
      <c r="B1015" s="4" t="s">
        <v>15</v>
      </c>
      <c r="C1015" s="40">
        <f>IF(C1014="","",IF(AND(MONTH(C1014)&gt;=1,MONTH(C1014)&lt;=3),1,IF(AND(MONTH(C1014)&gt;=4,MONTH(C1014)&lt;=6),2,IF(AND(MONTH(C1014)&gt;=7,MONTH(C1014)&lt;=9),3,4))))</f>
        <v>3</v>
      </c>
      <c r="D1015" s="6"/>
      <c r="E1015" s="38" t="s">
        <v>19</v>
      </c>
      <c r="F1015" s="39"/>
    </row>
    <row r="1016" spans="1:6" ht="17.25" thickBot="1">
      <c r="A1016" s="36"/>
      <c r="B1016" s="36"/>
      <c r="C1016" s="36"/>
      <c r="D1016" s="36"/>
      <c r="E1016" s="36"/>
      <c r="F1016" s="36"/>
    </row>
    <row r="1017" spans="1:6" ht="15.75" thickBot="1">
      <c r="A1017" s="41" t="s">
        <v>43</v>
      </c>
      <c r="B1017" s="41" t="s">
        <v>44</v>
      </c>
      <c r="C1017" s="41" t="s">
        <v>45</v>
      </c>
      <c r="D1017" s="41" t="s">
        <v>46</v>
      </c>
      <c r="E1017" s="41" t="s">
        <v>47</v>
      </c>
      <c r="F1017" s="41" t="s">
        <v>48</v>
      </c>
    </row>
    <row r="1018" spans="1:6" ht="33.75">
      <c r="A1018" s="42" t="s">
        <v>216</v>
      </c>
      <c r="B1018" s="43" t="str">
        <f ca="1">IFERROR(INDEX(UNSPSCDes,MATCH(INDIRECT(ADDRESS(ROW(),COLUMN()-1,4)),UNSPSCCode,0)),IF(INDIRECT(ADDRESS(ROW(),COLUMN()-1,4))="43233415","Software de respaldo o archivo",""))</f>
        <v>Software de respaldo o archivo</v>
      </c>
      <c r="C1018" s="44" t="str">
        <f>IFERROR(VLOOKUP("UD",'[1]Informacion '!P:Q,2,FALSE),"")</f>
        <v>Unidad</v>
      </c>
      <c r="D1018" s="42">
        <v>1</v>
      </c>
      <c r="E1018" s="45">
        <v>527264</v>
      </c>
      <c r="F1018" s="46">
        <f ca="1">INDIRECT(ADDRESS(ROW(),COLUMN()-2,4))*INDIRECT(ADDRESS(ROW(),COLUMN()-1,4))</f>
        <v>527264</v>
      </c>
    </row>
    <row r="1019" spans="1:6" ht="16.5">
      <c r="A1019" s="36"/>
      <c r="B1019" s="36"/>
      <c r="C1019" s="36"/>
      <c r="D1019" s="36"/>
      <c r="E1019" s="47" t="s">
        <v>50</v>
      </c>
      <c r="F1019" s="48">
        <f ca="1">SUM(Table86[MONTO TOTAL ESTIMADO])</f>
        <v>527264</v>
      </c>
    </row>
    <row r="1020" spans="1:6" ht="17.25" thickBot="1">
      <c r="A1020" s="36"/>
      <c r="B1020" s="36"/>
      <c r="C1020" s="36"/>
      <c r="D1020" s="36"/>
      <c r="E1020" s="36"/>
      <c r="F1020" s="36"/>
    </row>
    <row r="1021" spans="1:6" ht="34.5" thickBot="1">
      <c r="A1021" s="1" t="s">
        <v>0</v>
      </c>
      <c r="B1021" s="1" t="s">
        <v>1</v>
      </c>
      <c r="C1021" s="1" t="s">
        <v>2</v>
      </c>
      <c r="D1021" s="1" t="s">
        <v>3</v>
      </c>
      <c r="E1021" s="1" t="s">
        <v>4</v>
      </c>
      <c r="F1021" s="1" t="s">
        <v>5</v>
      </c>
    </row>
    <row r="1022" spans="1:6" ht="15.75" thickBot="1">
      <c r="A1022" s="2" t="s">
        <v>217</v>
      </c>
      <c r="B1022" s="2" t="s">
        <v>90</v>
      </c>
      <c r="C1022" s="2" t="s">
        <v>8</v>
      </c>
      <c r="D1022" s="2" t="s">
        <v>62</v>
      </c>
      <c r="E1022" s="2" t="s">
        <v>42</v>
      </c>
      <c r="F1022" s="2"/>
    </row>
    <row r="1023" spans="1:6" ht="15.75" thickBot="1">
      <c r="A1023" s="3" t="s">
        <v>11</v>
      </c>
      <c r="B1023" s="4" t="s">
        <v>12</v>
      </c>
      <c r="C1023" s="37">
        <v>43363</v>
      </c>
      <c r="D1023" s="3" t="s">
        <v>13</v>
      </c>
      <c r="E1023" s="38" t="s">
        <v>14</v>
      </c>
      <c r="F1023" s="39"/>
    </row>
    <row r="1024" spans="1:6" ht="15.75" thickBot="1">
      <c r="A1024" s="6"/>
      <c r="B1024" s="4" t="s">
        <v>15</v>
      </c>
      <c r="C1024" s="40">
        <f>IF(C1023="","",IF(AND(MONTH(C1023)&gt;=1,MONTH(C1023)&lt;=3),1,IF(AND(MONTH(C1023)&gt;=4,MONTH(C1023)&lt;=6),2,IF(AND(MONTH(C1023)&gt;=7,MONTH(C1023)&lt;=9),3,4))))</f>
        <v>3</v>
      </c>
      <c r="D1024" s="6"/>
      <c r="E1024" s="38" t="s">
        <v>16</v>
      </c>
      <c r="F1024" s="39"/>
    </row>
    <row r="1025" spans="1:6" ht="15.75" thickBot="1">
      <c r="A1025" s="6"/>
      <c r="B1025" s="4" t="s">
        <v>17</v>
      </c>
      <c r="C1025" s="37">
        <v>43364</v>
      </c>
      <c r="D1025" s="6"/>
      <c r="E1025" s="38" t="s">
        <v>18</v>
      </c>
      <c r="F1025" s="39"/>
    </row>
    <row r="1026" spans="1:6" ht="15.75" thickBot="1">
      <c r="A1026" s="6"/>
      <c r="B1026" s="4" t="s">
        <v>15</v>
      </c>
      <c r="C1026" s="40">
        <f>IF(C1025="","",IF(AND(MONTH(C1025)&gt;=1,MONTH(C1025)&lt;=3),1,IF(AND(MONTH(C1025)&gt;=4,MONTH(C1025)&lt;=6),2,IF(AND(MONTH(C1025)&gt;=7,MONTH(C1025)&lt;=9),3,4))))</f>
        <v>3</v>
      </c>
      <c r="D1026" s="6"/>
      <c r="E1026" s="38" t="s">
        <v>19</v>
      </c>
      <c r="F1026" s="39"/>
    </row>
    <row r="1027" spans="1:6" ht="17.25" thickBot="1">
      <c r="A1027" s="36"/>
      <c r="B1027" s="36"/>
      <c r="C1027" s="36"/>
      <c r="D1027" s="36"/>
      <c r="E1027" s="36"/>
      <c r="F1027" s="36"/>
    </row>
    <row r="1028" spans="1:6" ht="15.75" thickBot="1">
      <c r="A1028" s="41" t="s">
        <v>43</v>
      </c>
      <c r="B1028" s="41" t="s">
        <v>44</v>
      </c>
      <c r="C1028" s="41" t="s">
        <v>45</v>
      </c>
      <c r="D1028" s="41" t="s">
        <v>46</v>
      </c>
      <c r="E1028" s="41" t="s">
        <v>47</v>
      </c>
      <c r="F1028" s="41" t="s">
        <v>48</v>
      </c>
    </row>
    <row r="1029" spans="1:6" ht="33.75">
      <c r="A1029" s="42" t="s">
        <v>216</v>
      </c>
      <c r="B1029" s="43" t="str">
        <f ca="1">IFERROR(INDEX(UNSPSCDes,MATCH(INDIRECT(ADDRESS(ROW(),COLUMN()-1,4)),UNSPSCCode,0)),IF(INDIRECT(ADDRESS(ROW(),COLUMN()-1,4))="43233415","Software de respaldo o archivo",""))</f>
        <v>Software de respaldo o archivo</v>
      </c>
      <c r="C1029" s="44" t="str">
        <f>IFERROR(VLOOKUP("UD",'[1]Informacion '!P:Q,2,FALSE),"")</f>
        <v>Unidad</v>
      </c>
      <c r="D1029" s="42">
        <v>1</v>
      </c>
      <c r="E1029" s="45">
        <v>45000</v>
      </c>
      <c r="F1029" s="46">
        <f ca="1">INDIRECT(ADDRESS(ROW(),COLUMN()-2,4))*INDIRECT(ADDRESS(ROW(),COLUMN()-1,4))</f>
        <v>45000</v>
      </c>
    </row>
    <row r="1030" spans="1:6" ht="16.5">
      <c r="A1030" s="36"/>
      <c r="B1030" s="36"/>
      <c r="C1030" s="36"/>
      <c r="D1030" s="36"/>
      <c r="E1030" s="47" t="s">
        <v>50</v>
      </c>
      <c r="F1030" s="48">
        <f ca="1">SUM(Table87[MONTO TOTAL ESTIMADO])</f>
        <v>45000</v>
      </c>
    </row>
    <row r="1031" spans="1:6" ht="17.25" thickBot="1">
      <c r="A1031" s="36"/>
      <c r="B1031" s="36"/>
      <c r="C1031" s="36"/>
      <c r="D1031" s="36"/>
      <c r="E1031" s="36"/>
      <c r="F1031" s="36"/>
    </row>
    <row r="1032" spans="1:6" ht="34.5" thickBot="1">
      <c r="A1032" s="1" t="s">
        <v>0</v>
      </c>
      <c r="B1032" s="1" t="s">
        <v>1</v>
      </c>
      <c r="C1032" s="1" t="s">
        <v>2</v>
      </c>
      <c r="D1032" s="1" t="s">
        <v>3</v>
      </c>
      <c r="E1032" s="1" t="s">
        <v>4</v>
      </c>
      <c r="F1032" s="1" t="s">
        <v>5</v>
      </c>
    </row>
    <row r="1033" spans="1:6" ht="15.75" thickBot="1">
      <c r="A1033" s="2" t="s">
        <v>218</v>
      </c>
      <c r="B1033" s="2" t="s">
        <v>219</v>
      </c>
      <c r="C1033" s="2" t="s">
        <v>8</v>
      </c>
      <c r="D1033" s="2" t="s">
        <v>62</v>
      </c>
      <c r="E1033" s="2" t="s">
        <v>42</v>
      </c>
      <c r="F1033" s="2"/>
    </row>
    <row r="1034" spans="1:6" ht="15.75" thickBot="1">
      <c r="A1034" s="3" t="s">
        <v>11</v>
      </c>
      <c r="B1034" s="4" t="s">
        <v>12</v>
      </c>
      <c r="C1034" s="37">
        <v>43306</v>
      </c>
      <c r="D1034" s="3" t="s">
        <v>13</v>
      </c>
      <c r="E1034" s="38" t="s">
        <v>14</v>
      </c>
      <c r="F1034" s="39"/>
    </row>
    <row r="1035" spans="1:6" ht="15.75" thickBot="1">
      <c r="A1035" s="6"/>
      <c r="B1035" s="4" t="s">
        <v>15</v>
      </c>
      <c r="C1035" s="40">
        <f>IF(C1034="","",IF(AND(MONTH(C1034)&gt;=1,MONTH(C1034)&lt;=3),1,IF(AND(MONTH(C1034)&gt;=4,MONTH(C1034)&lt;=6),2,IF(AND(MONTH(C1034)&gt;=7,MONTH(C1034)&lt;=9),3,4))))</f>
        <v>3</v>
      </c>
      <c r="D1035" s="6"/>
      <c r="E1035" s="38" t="s">
        <v>16</v>
      </c>
      <c r="F1035" s="39"/>
    </row>
    <row r="1036" spans="1:6" ht="15.75" thickBot="1">
      <c r="A1036" s="6"/>
      <c r="B1036" s="4" t="s">
        <v>17</v>
      </c>
      <c r="C1036" s="37">
        <v>43308</v>
      </c>
      <c r="D1036" s="6"/>
      <c r="E1036" s="38" t="s">
        <v>18</v>
      </c>
      <c r="F1036" s="39"/>
    </row>
    <row r="1037" spans="1:6" ht="15.75" thickBot="1">
      <c r="A1037" s="6"/>
      <c r="B1037" s="4" t="s">
        <v>15</v>
      </c>
      <c r="C1037" s="40">
        <f>IF(C1036="","",IF(AND(MONTH(C1036)&gt;=1,MONTH(C1036)&lt;=3),1,IF(AND(MONTH(C1036)&gt;=4,MONTH(C1036)&lt;=6),2,IF(AND(MONTH(C1036)&gt;=7,MONTH(C1036)&lt;=9),3,4))))</f>
        <v>3</v>
      </c>
      <c r="D1037" s="6"/>
      <c r="E1037" s="38" t="s">
        <v>19</v>
      </c>
      <c r="F1037" s="39"/>
    </row>
    <row r="1038" spans="1:6" ht="17.25" thickBot="1">
      <c r="A1038" s="36"/>
      <c r="B1038" s="36"/>
      <c r="C1038" s="36"/>
      <c r="D1038" s="36"/>
      <c r="E1038" s="36"/>
      <c r="F1038" s="36"/>
    </row>
    <row r="1039" spans="1:6" ht="15.75" thickBot="1">
      <c r="A1039" s="41" t="s">
        <v>43</v>
      </c>
      <c r="B1039" s="41" t="s">
        <v>44</v>
      </c>
      <c r="C1039" s="41" t="s">
        <v>45</v>
      </c>
      <c r="D1039" s="41" t="s">
        <v>46</v>
      </c>
      <c r="E1039" s="41" t="s">
        <v>47</v>
      </c>
      <c r="F1039" s="41" t="s">
        <v>48</v>
      </c>
    </row>
    <row r="1040" spans="1:6" ht="33.75">
      <c r="A1040" s="42" t="s">
        <v>216</v>
      </c>
      <c r="B1040" s="43" t="str">
        <f ca="1">IFERROR(INDEX(UNSPSCDes,MATCH(INDIRECT(ADDRESS(ROW(),COLUMN()-1,4)),UNSPSCCode,0)),IF(INDIRECT(ADDRESS(ROW(),COLUMN()-1,4))="43233415","Software de respaldo o archivo",""))</f>
        <v>Software de respaldo o archivo</v>
      </c>
      <c r="C1040" s="44" t="str">
        <f>IFERROR(VLOOKUP("UD",'[1]Informacion '!P:Q,2,FALSE),"")</f>
        <v>Unidad</v>
      </c>
      <c r="D1040" s="42">
        <v>3</v>
      </c>
      <c r="E1040" s="45">
        <v>15900</v>
      </c>
      <c r="F1040" s="46">
        <f ca="1">INDIRECT(ADDRESS(ROW(),COLUMN()-2,4))*INDIRECT(ADDRESS(ROW(),COLUMN()-1,4))</f>
        <v>47700</v>
      </c>
    </row>
    <row r="1041" spans="1:6" ht="16.5">
      <c r="A1041" s="36"/>
      <c r="B1041" s="36"/>
      <c r="C1041" s="36"/>
      <c r="D1041" s="36"/>
      <c r="E1041" s="47" t="s">
        <v>50</v>
      </c>
      <c r="F1041" s="48">
        <f ca="1">SUM(Table88[MONTO TOTAL ESTIMADO])</f>
        <v>47700</v>
      </c>
    </row>
    <row r="1042" spans="1:6" ht="17.25" thickBot="1">
      <c r="A1042" s="36"/>
      <c r="B1042" s="36"/>
      <c r="C1042" s="36"/>
      <c r="D1042" s="36"/>
      <c r="E1042" s="36"/>
      <c r="F1042" s="36"/>
    </row>
    <row r="1043" spans="1:6" ht="34.5" thickBot="1">
      <c r="A1043" s="1" t="s">
        <v>0</v>
      </c>
      <c r="B1043" s="1" t="s">
        <v>1</v>
      </c>
      <c r="C1043" s="1" t="s">
        <v>2</v>
      </c>
      <c r="D1043" s="1" t="s">
        <v>3</v>
      </c>
      <c r="E1043" s="1" t="s">
        <v>4</v>
      </c>
      <c r="F1043" s="1" t="s">
        <v>5</v>
      </c>
    </row>
    <row r="1044" spans="1:6" ht="15.75" thickBot="1">
      <c r="A1044" s="2" t="s">
        <v>220</v>
      </c>
      <c r="B1044" s="2" t="s">
        <v>221</v>
      </c>
      <c r="C1044" s="2" t="s">
        <v>8</v>
      </c>
      <c r="D1044" s="2" t="s">
        <v>53</v>
      </c>
      <c r="E1044" s="2" t="s">
        <v>42</v>
      </c>
      <c r="F1044" s="2"/>
    </row>
    <row r="1045" spans="1:6" ht="15.75" thickBot="1">
      <c r="A1045" s="3" t="s">
        <v>11</v>
      </c>
      <c r="B1045" s="4" t="s">
        <v>12</v>
      </c>
      <c r="C1045" s="37">
        <v>43390</v>
      </c>
      <c r="D1045" s="3" t="s">
        <v>13</v>
      </c>
      <c r="E1045" s="38" t="s">
        <v>14</v>
      </c>
      <c r="F1045" s="39"/>
    </row>
    <row r="1046" spans="1:6" ht="15.75" thickBot="1">
      <c r="A1046" s="6"/>
      <c r="B1046" s="4" t="s">
        <v>15</v>
      </c>
      <c r="C1046" s="40">
        <f>IF(C1045="","",IF(AND(MONTH(C1045)&gt;=1,MONTH(C1045)&lt;=3),1,IF(AND(MONTH(C1045)&gt;=4,MONTH(C1045)&lt;=6),2,IF(AND(MONTH(C1045)&gt;=7,MONTH(C1045)&lt;=9),3,4))))</f>
        <v>4</v>
      </c>
      <c r="D1046" s="6"/>
      <c r="E1046" s="38" t="s">
        <v>16</v>
      </c>
      <c r="F1046" s="39"/>
    </row>
    <row r="1047" spans="1:6" ht="15.75" thickBot="1">
      <c r="A1047" s="6"/>
      <c r="B1047" s="4" t="s">
        <v>17</v>
      </c>
      <c r="C1047" s="37">
        <v>43392</v>
      </c>
      <c r="D1047" s="6"/>
      <c r="E1047" s="38" t="s">
        <v>18</v>
      </c>
      <c r="F1047" s="39"/>
    </row>
    <row r="1048" spans="1:6" ht="15.75" thickBot="1">
      <c r="A1048" s="6"/>
      <c r="B1048" s="4" t="s">
        <v>15</v>
      </c>
      <c r="C1048" s="40">
        <f>IF(C1047="","",IF(AND(MONTH(C1047)&gt;=1,MONTH(C1047)&lt;=3),1,IF(AND(MONTH(C1047)&gt;=4,MONTH(C1047)&lt;=6),2,IF(AND(MONTH(C1047)&gt;=7,MONTH(C1047)&lt;=9),3,4))))</f>
        <v>4</v>
      </c>
      <c r="D1048" s="6"/>
      <c r="E1048" s="38" t="s">
        <v>19</v>
      </c>
      <c r="F1048" s="39"/>
    </row>
    <row r="1049" spans="1:6" ht="17.25" thickBot="1">
      <c r="A1049" s="36"/>
      <c r="B1049" s="36"/>
      <c r="C1049" s="36"/>
      <c r="D1049" s="36"/>
      <c r="E1049" s="36"/>
      <c r="F1049" s="36"/>
    </row>
    <row r="1050" spans="1:6" ht="15.75" thickBot="1">
      <c r="A1050" s="41" t="s">
        <v>43</v>
      </c>
      <c r="B1050" s="41" t="s">
        <v>44</v>
      </c>
      <c r="C1050" s="41" t="s">
        <v>45</v>
      </c>
      <c r="D1050" s="41" t="s">
        <v>46</v>
      </c>
      <c r="E1050" s="41" t="s">
        <v>47</v>
      </c>
      <c r="F1050" s="41" t="s">
        <v>48</v>
      </c>
    </row>
    <row r="1051" spans="1:6" ht="33.75">
      <c r="A1051" s="42" t="s">
        <v>216</v>
      </c>
      <c r="B1051" s="43" t="str">
        <f ca="1">IFERROR(INDEX(UNSPSCDes,MATCH(INDIRECT(ADDRESS(ROW(),COLUMN()-1,4)),UNSPSCCode,0)),IF(INDIRECT(ADDRESS(ROW(),COLUMN()-1,4))="43233415","Software de respaldo o archivo",""))</f>
        <v>Software de respaldo o archivo</v>
      </c>
      <c r="C1051" s="44" t="str">
        <f>IFERROR(VLOOKUP("UD",'[1]Informacion '!P:Q,2,FALSE),"")</f>
        <v>Unidad</v>
      </c>
      <c r="D1051" s="42">
        <v>1</v>
      </c>
      <c r="E1051" s="45">
        <v>128300</v>
      </c>
      <c r="F1051" s="46">
        <f ca="1">INDIRECT(ADDRESS(ROW(),COLUMN()-2,4))*INDIRECT(ADDRESS(ROW(),COLUMN()-1,4))</f>
        <v>128300</v>
      </c>
    </row>
    <row r="1052" spans="1:6" ht="16.5">
      <c r="A1052" s="36"/>
      <c r="B1052" s="36"/>
      <c r="C1052" s="36"/>
      <c r="D1052" s="36"/>
      <c r="E1052" s="47" t="s">
        <v>50</v>
      </c>
      <c r="F1052" s="48">
        <f ca="1">SUM(Table89[MONTO TOTAL ESTIMADO])</f>
        <v>128300</v>
      </c>
    </row>
    <row r="1053" spans="1:6" ht="17.25" thickBot="1">
      <c r="A1053" s="36"/>
      <c r="B1053" s="36"/>
      <c r="C1053" s="36"/>
      <c r="D1053" s="36"/>
      <c r="E1053" s="36"/>
      <c r="F1053" s="36"/>
    </row>
    <row r="1054" spans="1:6" ht="34.5" thickBot="1">
      <c r="A1054" s="1" t="s">
        <v>0</v>
      </c>
      <c r="B1054" s="1" t="s">
        <v>1</v>
      </c>
      <c r="C1054" s="1" t="s">
        <v>2</v>
      </c>
      <c r="D1054" s="1" t="s">
        <v>3</v>
      </c>
      <c r="E1054" s="1" t="s">
        <v>4</v>
      </c>
      <c r="F1054" s="1" t="s">
        <v>5</v>
      </c>
    </row>
    <row r="1055" spans="1:6" ht="15.75" thickBot="1">
      <c r="A1055" s="2" t="s">
        <v>222</v>
      </c>
      <c r="B1055" s="2" t="s">
        <v>223</v>
      </c>
      <c r="C1055" s="2" t="s">
        <v>8</v>
      </c>
      <c r="D1055" s="2" t="s">
        <v>62</v>
      </c>
      <c r="E1055" s="2" t="s">
        <v>42</v>
      </c>
      <c r="F1055" s="2"/>
    </row>
    <row r="1056" spans="1:6" ht="15.75" thickBot="1">
      <c r="A1056" s="3" t="s">
        <v>11</v>
      </c>
      <c r="B1056" s="4" t="s">
        <v>12</v>
      </c>
      <c r="C1056" s="37">
        <v>43405</v>
      </c>
      <c r="D1056" s="3" t="s">
        <v>13</v>
      </c>
      <c r="E1056" s="38" t="s">
        <v>14</v>
      </c>
      <c r="F1056" s="39"/>
    </row>
    <row r="1057" spans="1:6" ht="15.75" thickBot="1">
      <c r="A1057" s="6"/>
      <c r="B1057" s="4" t="s">
        <v>15</v>
      </c>
      <c r="C1057" s="40">
        <f>IF(C1056="","",IF(AND(MONTH(C1056)&gt;=1,MONTH(C1056)&lt;=3),1,IF(AND(MONTH(C1056)&gt;=4,MONTH(C1056)&lt;=6),2,IF(AND(MONTH(C1056)&gt;=7,MONTH(C1056)&lt;=9),3,4))))</f>
        <v>4</v>
      </c>
      <c r="D1057" s="6"/>
      <c r="E1057" s="38" t="s">
        <v>16</v>
      </c>
      <c r="F1057" s="39"/>
    </row>
    <row r="1058" spans="1:6" ht="15.75" thickBot="1">
      <c r="A1058" s="6"/>
      <c r="B1058" s="4" t="s">
        <v>17</v>
      </c>
      <c r="C1058" s="37">
        <v>43406</v>
      </c>
      <c r="D1058" s="6"/>
      <c r="E1058" s="38" t="s">
        <v>18</v>
      </c>
      <c r="F1058" s="39"/>
    </row>
    <row r="1059" spans="1:6" ht="15.75" thickBot="1">
      <c r="A1059" s="6"/>
      <c r="B1059" s="4" t="s">
        <v>15</v>
      </c>
      <c r="C1059" s="40">
        <f>IF(C1058="","",IF(AND(MONTH(C1058)&gt;=1,MONTH(C1058)&lt;=3),1,IF(AND(MONTH(C1058)&gt;=4,MONTH(C1058)&lt;=6),2,IF(AND(MONTH(C1058)&gt;=7,MONTH(C1058)&lt;=9),3,4))))</f>
        <v>4</v>
      </c>
      <c r="D1059" s="6"/>
      <c r="E1059" s="38" t="s">
        <v>19</v>
      </c>
      <c r="F1059" s="39"/>
    </row>
    <row r="1060" spans="1:6" ht="17.25" thickBot="1">
      <c r="A1060" s="36"/>
      <c r="B1060" s="36"/>
      <c r="C1060" s="36"/>
      <c r="D1060" s="36"/>
      <c r="E1060" s="36"/>
      <c r="F1060" s="36"/>
    </row>
    <row r="1061" spans="1:6" ht="15.75" thickBot="1">
      <c r="A1061" s="41" t="s">
        <v>43</v>
      </c>
      <c r="B1061" s="41" t="s">
        <v>44</v>
      </c>
      <c r="C1061" s="41" t="s">
        <v>45</v>
      </c>
      <c r="D1061" s="41" t="s">
        <v>46</v>
      </c>
      <c r="E1061" s="41" t="s">
        <v>47</v>
      </c>
      <c r="F1061" s="41" t="s">
        <v>48</v>
      </c>
    </row>
    <row r="1062" spans="1:6" ht="33.75">
      <c r="A1062" s="42" t="s">
        <v>216</v>
      </c>
      <c r="B1062" s="43" t="str">
        <f ca="1">IFERROR(INDEX(UNSPSCDes,MATCH(INDIRECT(ADDRESS(ROW(),COLUMN()-1,4)),UNSPSCCode,0)),IF(INDIRECT(ADDRESS(ROW(),COLUMN()-1,4))="43233415","Software de respaldo o archivo",""))</f>
        <v>Software de respaldo o archivo</v>
      </c>
      <c r="C1062" s="44" t="str">
        <f>IFERROR(VLOOKUP("UD",'[1]Informacion '!P:Q,2,FALSE),"")</f>
        <v>Unidad</v>
      </c>
      <c r="D1062" s="42">
        <v>1</v>
      </c>
      <c r="E1062" s="45">
        <v>5400</v>
      </c>
      <c r="F1062" s="46">
        <f ca="1">INDIRECT(ADDRESS(ROW(),COLUMN()-2,4))*INDIRECT(ADDRESS(ROW(),COLUMN()-1,4))</f>
        <v>5400</v>
      </c>
    </row>
    <row r="1063" spans="1:6" ht="16.5">
      <c r="A1063" s="36"/>
      <c r="B1063" s="36"/>
      <c r="C1063" s="36"/>
      <c r="D1063" s="36"/>
      <c r="E1063" s="47" t="s">
        <v>50</v>
      </c>
      <c r="F1063" s="48">
        <f ca="1">SUM(Table90[MONTO TOTAL ESTIMADO])</f>
        <v>5400</v>
      </c>
    </row>
    <row r="1064" spans="1:6" ht="17.25" thickBot="1">
      <c r="A1064" s="36"/>
      <c r="B1064" s="36"/>
      <c r="C1064" s="36"/>
      <c r="D1064" s="36"/>
      <c r="E1064" s="36"/>
      <c r="F1064" s="36"/>
    </row>
    <row r="1065" spans="1:6" ht="34.5" thickBot="1">
      <c r="A1065" s="1" t="s">
        <v>0</v>
      </c>
      <c r="B1065" s="1" t="s">
        <v>1</v>
      </c>
      <c r="C1065" s="1" t="s">
        <v>2</v>
      </c>
      <c r="D1065" s="1" t="s">
        <v>3</v>
      </c>
      <c r="E1065" s="1" t="s">
        <v>4</v>
      </c>
      <c r="F1065" s="1" t="s">
        <v>5</v>
      </c>
    </row>
    <row r="1066" spans="1:6" ht="15.75" thickBot="1">
      <c r="A1066" s="2" t="s">
        <v>224</v>
      </c>
      <c r="B1066" s="2" t="s">
        <v>225</v>
      </c>
      <c r="C1066" s="2" t="s">
        <v>8</v>
      </c>
      <c r="D1066" s="2" t="s">
        <v>62</v>
      </c>
      <c r="E1066" s="2" t="s">
        <v>42</v>
      </c>
      <c r="F1066" s="2"/>
    </row>
    <row r="1067" spans="1:6" ht="15.75" thickBot="1">
      <c r="A1067" s="3" t="s">
        <v>11</v>
      </c>
      <c r="B1067" s="4" t="s">
        <v>12</v>
      </c>
      <c r="C1067" s="37">
        <v>43432</v>
      </c>
      <c r="D1067" s="3" t="s">
        <v>13</v>
      </c>
      <c r="E1067" s="38" t="s">
        <v>14</v>
      </c>
      <c r="F1067" s="39"/>
    </row>
    <row r="1068" spans="1:6" ht="15.75" thickBot="1">
      <c r="A1068" s="6"/>
      <c r="B1068" s="4" t="s">
        <v>15</v>
      </c>
      <c r="C1068" s="40">
        <f>IF(C1067="","",IF(AND(MONTH(C1067)&gt;=1,MONTH(C1067)&lt;=3),1,IF(AND(MONTH(C1067)&gt;=4,MONTH(C1067)&lt;=6),2,IF(AND(MONTH(C1067)&gt;=7,MONTH(C1067)&lt;=9),3,4))))</f>
        <v>4</v>
      </c>
      <c r="D1068" s="6"/>
      <c r="E1068" s="38" t="s">
        <v>16</v>
      </c>
      <c r="F1068" s="39"/>
    </row>
    <row r="1069" spans="1:6" ht="15.75" thickBot="1">
      <c r="A1069" s="6"/>
      <c r="B1069" s="4" t="s">
        <v>17</v>
      </c>
      <c r="C1069" s="37">
        <v>43433</v>
      </c>
      <c r="D1069" s="6"/>
      <c r="E1069" s="38" t="s">
        <v>18</v>
      </c>
      <c r="F1069" s="39"/>
    </row>
    <row r="1070" spans="1:6" ht="15.75" thickBot="1">
      <c r="A1070" s="6"/>
      <c r="B1070" s="4" t="s">
        <v>15</v>
      </c>
      <c r="C1070" s="40">
        <f>IF(C1069="","",IF(AND(MONTH(C1069)&gt;=1,MONTH(C1069)&lt;=3),1,IF(AND(MONTH(C1069)&gt;=4,MONTH(C1069)&lt;=6),2,IF(AND(MONTH(C1069)&gt;=7,MONTH(C1069)&lt;=9),3,4))))</f>
        <v>4</v>
      </c>
      <c r="D1070" s="6"/>
      <c r="E1070" s="38" t="s">
        <v>19</v>
      </c>
      <c r="F1070" s="39"/>
    </row>
    <row r="1071" spans="1:6" ht="17.25" thickBot="1">
      <c r="A1071" s="36"/>
      <c r="B1071" s="36"/>
      <c r="C1071" s="36"/>
      <c r="D1071" s="36"/>
      <c r="E1071" s="36"/>
      <c r="F1071" s="36"/>
    </row>
    <row r="1072" spans="1:6" ht="15.75" thickBot="1">
      <c r="A1072" s="41" t="s">
        <v>43</v>
      </c>
      <c r="B1072" s="41" t="s">
        <v>44</v>
      </c>
      <c r="C1072" s="41" t="s">
        <v>45</v>
      </c>
      <c r="D1072" s="41" t="s">
        <v>46</v>
      </c>
      <c r="E1072" s="41" t="s">
        <v>47</v>
      </c>
      <c r="F1072" s="41" t="s">
        <v>48</v>
      </c>
    </row>
    <row r="1073" spans="1:6" ht="33.75">
      <c r="A1073" s="42" t="s">
        <v>216</v>
      </c>
      <c r="B1073" s="43" t="str">
        <f ca="1">IFERROR(INDEX(UNSPSCDes,MATCH(INDIRECT(ADDRESS(ROW(),COLUMN()-1,4)),UNSPSCCode,0)),IF(INDIRECT(ADDRESS(ROW(),COLUMN()-1,4))="43233415","Software de respaldo o archivo",""))</f>
        <v>Software de respaldo o archivo</v>
      </c>
      <c r="C1073" s="44" t="str">
        <f>IFERROR(VLOOKUP("UD",'[1]Informacion '!P:Q,2,FALSE),"")</f>
        <v>Unidad</v>
      </c>
      <c r="D1073" s="42">
        <v>1</v>
      </c>
      <c r="E1073" s="45">
        <v>19477</v>
      </c>
      <c r="F1073" s="46">
        <f ca="1">INDIRECT(ADDRESS(ROW(),COLUMN()-2,4))*INDIRECT(ADDRESS(ROW(),COLUMN()-1,4))</f>
        <v>19477</v>
      </c>
    </row>
    <row r="1074" spans="1:6" ht="16.5">
      <c r="A1074" s="36"/>
      <c r="B1074" s="36"/>
      <c r="C1074" s="36"/>
      <c r="D1074" s="36"/>
      <c r="E1074" s="47" t="s">
        <v>50</v>
      </c>
      <c r="F1074" s="48">
        <f ca="1">SUM(Table91[MONTO TOTAL ESTIMADO])</f>
        <v>19477</v>
      </c>
    </row>
    <row r="1075" spans="1:6" ht="17.25" thickBot="1">
      <c r="A1075" s="36"/>
      <c r="B1075" s="36"/>
      <c r="C1075" s="36"/>
      <c r="D1075" s="36"/>
      <c r="E1075" s="36"/>
      <c r="F1075" s="36"/>
    </row>
    <row r="1076" spans="1:6" ht="34.5" thickBot="1">
      <c r="A1076" s="1" t="s">
        <v>0</v>
      </c>
      <c r="B1076" s="1" t="s">
        <v>1</v>
      </c>
      <c r="C1076" s="1" t="s">
        <v>2</v>
      </c>
      <c r="D1076" s="1" t="s">
        <v>3</v>
      </c>
      <c r="E1076" s="1" t="s">
        <v>4</v>
      </c>
      <c r="F1076" s="1" t="s">
        <v>5</v>
      </c>
    </row>
    <row r="1077" spans="1:6" ht="15.75" thickBot="1">
      <c r="A1077" s="2" t="s">
        <v>226</v>
      </c>
      <c r="B1077" s="2" t="s">
        <v>227</v>
      </c>
      <c r="C1077" s="2" t="s">
        <v>8</v>
      </c>
      <c r="D1077" s="2" t="s">
        <v>62</v>
      </c>
      <c r="E1077" s="2" t="s">
        <v>42</v>
      </c>
      <c r="F1077" s="2"/>
    </row>
    <row r="1078" spans="1:6" ht="15.75" thickBot="1">
      <c r="A1078" s="3" t="s">
        <v>11</v>
      </c>
      <c r="B1078" s="4" t="s">
        <v>12</v>
      </c>
      <c r="C1078" s="37">
        <v>43344</v>
      </c>
      <c r="D1078" s="3" t="s">
        <v>13</v>
      </c>
      <c r="E1078" s="38" t="s">
        <v>14</v>
      </c>
      <c r="F1078" s="39"/>
    </row>
    <row r="1079" spans="1:6" ht="15.75" thickBot="1">
      <c r="A1079" s="6"/>
      <c r="B1079" s="4" t="s">
        <v>15</v>
      </c>
      <c r="C1079" s="40">
        <f>IF(C1078="","",IF(AND(MONTH(C1078)&gt;=1,MONTH(C1078)&lt;=3),1,IF(AND(MONTH(C1078)&gt;=4,MONTH(C1078)&lt;=6),2,IF(AND(MONTH(C1078)&gt;=7,MONTH(C1078)&lt;=9),3,4))))</f>
        <v>3</v>
      </c>
      <c r="D1079" s="6"/>
      <c r="E1079" s="38" t="s">
        <v>16</v>
      </c>
      <c r="F1079" s="39"/>
    </row>
    <row r="1080" spans="1:6" ht="15.75" thickBot="1">
      <c r="A1080" s="6"/>
      <c r="B1080" s="4" t="s">
        <v>17</v>
      </c>
      <c r="C1080" s="37">
        <v>43347</v>
      </c>
      <c r="D1080" s="6"/>
      <c r="E1080" s="38" t="s">
        <v>18</v>
      </c>
      <c r="F1080" s="39"/>
    </row>
    <row r="1081" spans="1:6" ht="15.75" thickBot="1">
      <c r="A1081" s="6"/>
      <c r="B1081" s="4" t="s">
        <v>15</v>
      </c>
      <c r="C1081" s="40">
        <f>IF(C1080="","",IF(AND(MONTH(C1080)&gt;=1,MONTH(C1080)&lt;=3),1,IF(AND(MONTH(C1080)&gt;=4,MONTH(C1080)&lt;=6),2,IF(AND(MONTH(C1080)&gt;=7,MONTH(C1080)&lt;=9),3,4))))</f>
        <v>3</v>
      </c>
      <c r="D1081" s="6"/>
      <c r="E1081" s="38" t="s">
        <v>19</v>
      </c>
      <c r="F1081" s="39"/>
    </row>
    <row r="1082" spans="1:6" ht="17.25" thickBot="1">
      <c r="A1082" s="36"/>
      <c r="B1082" s="36"/>
      <c r="C1082" s="36"/>
      <c r="D1082" s="36"/>
      <c r="E1082" s="36"/>
      <c r="F1082" s="36"/>
    </row>
    <row r="1083" spans="1:6" ht="15.75" thickBot="1">
      <c r="A1083" s="41" t="s">
        <v>43</v>
      </c>
      <c r="B1083" s="41" t="s">
        <v>44</v>
      </c>
      <c r="C1083" s="41" t="s">
        <v>45</v>
      </c>
      <c r="D1083" s="41" t="s">
        <v>46</v>
      </c>
      <c r="E1083" s="41" t="s">
        <v>47</v>
      </c>
      <c r="F1083" s="41" t="s">
        <v>48</v>
      </c>
    </row>
    <row r="1084" spans="1:6" ht="33.75">
      <c r="A1084" s="42" t="s">
        <v>216</v>
      </c>
      <c r="B1084" s="43" t="str">
        <f ca="1">IFERROR(INDEX(UNSPSCDes,MATCH(INDIRECT(ADDRESS(ROW(),COLUMN()-1,4)),UNSPSCCode,0)),IF(INDIRECT(ADDRESS(ROW(),COLUMN()-1,4))="43233415","Software de respaldo o archivo",""))</f>
        <v>Software de respaldo o archivo</v>
      </c>
      <c r="C1084" s="44" t="str">
        <f>IFERROR(VLOOKUP("UD",'[1]Informacion '!P:Q,2,FALSE),"")</f>
        <v>Unidad</v>
      </c>
      <c r="D1084" s="42">
        <v>1</v>
      </c>
      <c r="E1084" s="45">
        <v>8995</v>
      </c>
      <c r="F1084" s="46">
        <f ca="1">INDIRECT(ADDRESS(ROW(),COLUMN()-2,4))*INDIRECT(ADDRESS(ROW(),COLUMN()-1,4))</f>
        <v>8995</v>
      </c>
    </row>
    <row r="1085" spans="1:6" ht="16.5">
      <c r="A1085" s="36"/>
      <c r="B1085" s="36"/>
      <c r="C1085" s="36"/>
      <c r="D1085" s="36"/>
      <c r="E1085" s="47" t="s">
        <v>50</v>
      </c>
      <c r="F1085" s="48">
        <f ca="1">SUM(Table92[MONTO TOTAL ESTIMADO])</f>
        <v>8995</v>
      </c>
    </row>
    <row r="1086" spans="1:6" ht="17.25" thickBot="1">
      <c r="A1086" s="36"/>
      <c r="B1086" s="36"/>
      <c r="C1086" s="36"/>
      <c r="D1086" s="36"/>
      <c r="E1086" s="36"/>
      <c r="F1086" s="36"/>
    </row>
    <row r="1087" spans="1:6" ht="34.5" thickBot="1">
      <c r="A1087" s="1" t="s">
        <v>0</v>
      </c>
      <c r="B1087" s="1" t="s">
        <v>1</v>
      </c>
      <c r="C1087" s="1" t="s">
        <v>2</v>
      </c>
      <c r="D1087" s="1" t="s">
        <v>3</v>
      </c>
      <c r="E1087" s="1" t="s">
        <v>4</v>
      </c>
      <c r="F1087" s="1" t="s">
        <v>5</v>
      </c>
    </row>
    <row r="1088" spans="1:6" ht="15.75" thickBot="1">
      <c r="A1088" s="2" t="s">
        <v>228</v>
      </c>
      <c r="B1088" s="2" t="s">
        <v>229</v>
      </c>
      <c r="C1088" s="2" t="s">
        <v>8</v>
      </c>
      <c r="D1088" s="2" t="s">
        <v>53</v>
      </c>
      <c r="E1088" s="2" t="s">
        <v>42</v>
      </c>
      <c r="F1088" s="2"/>
    </row>
    <row r="1089" spans="1:6" ht="15.75" thickBot="1">
      <c r="A1089" s="3" t="s">
        <v>11</v>
      </c>
      <c r="B1089" s="4" t="s">
        <v>12</v>
      </c>
      <c r="C1089" s="37">
        <v>43382</v>
      </c>
      <c r="D1089" s="3" t="s">
        <v>13</v>
      </c>
      <c r="E1089" s="38" t="s">
        <v>14</v>
      </c>
      <c r="F1089" s="39"/>
    </row>
    <row r="1090" spans="1:6" ht="15.75" thickBot="1">
      <c r="A1090" s="6"/>
      <c r="B1090" s="4" t="s">
        <v>15</v>
      </c>
      <c r="C1090" s="40">
        <f>IF(C1089="","",IF(AND(MONTH(C1089)&gt;=1,MONTH(C1089)&lt;=3),1,IF(AND(MONTH(C1089)&gt;=4,MONTH(C1089)&lt;=6),2,IF(AND(MONTH(C1089)&gt;=7,MONTH(C1089)&lt;=9),3,4))))</f>
        <v>4</v>
      </c>
      <c r="D1090" s="6"/>
      <c r="E1090" s="38" t="s">
        <v>16</v>
      </c>
      <c r="F1090" s="39"/>
    </row>
    <row r="1091" spans="1:6" ht="15.75" thickBot="1">
      <c r="A1091" s="6"/>
      <c r="B1091" s="4" t="s">
        <v>17</v>
      </c>
      <c r="C1091" s="37">
        <v>43384</v>
      </c>
      <c r="D1091" s="6"/>
      <c r="E1091" s="38" t="s">
        <v>18</v>
      </c>
      <c r="F1091" s="39"/>
    </row>
    <row r="1092" spans="1:6" ht="15.75" thickBot="1">
      <c r="A1092" s="6"/>
      <c r="B1092" s="4" t="s">
        <v>15</v>
      </c>
      <c r="C1092" s="40">
        <f>IF(C1091="","",IF(AND(MONTH(C1091)&gt;=1,MONTH(C1091)&lt;=3),1,IF(AND(MONTH(C1091)&gt;=4,MONTH(C1091)&lt;=6),2,IF(AND(MONTH(C1091)&gt;=7,MONTH(C1091)&lt;=9),3,4))))</f>
        <v>4</v>
      </c>
      <c r="D1092" s="6"/>
      <c r="E1092" s="38" t="s">
        <v>19</v>
      </c>
      <c r="F1092" s="39"/>
    </row>
    <row r="1093" spans="1:6" ht="17.25" thickBot="1">
      <c r="A1093" s="36"/>
      <c r="B1093" s="36"/>
      <c r="C1093" s="36"/>
      <c r="D1093" s="36"/>
      <c r="E1093" s="36"/>
      <c r="F1093" s="36"/>
    </row>
    <row r="1094" spans="1:6" ht="15.75" thickBot="1">
      <c r="A1094" s="41" t="s">
        <v>43</v>
      </c>
      <c r="B1094" s="41" t="s">
        <v>44</v>
      </c>
      <c r="C1094" s="41" t="s">
        <v>45</v>
      </c>
      <c r="D1094" s="41" t="s">
        <v>46</v>
      </c>
      <c r="E1094" s="41" t="s">
        <v>47</v>
      </c>
      <c r="F1094" s="41" t="s">
        <v>48</v>
      </c>
    </row>
    <row r="1095" spans="1:6" ht="33.75">
      <c r="A1095" s="42" t="s">
        <v>216</v>
      </c>
      <c r="B1095" s="43" t="str">
        <f ca="1">IFERROR(INDEX(UNSPSCDes,MATCH(INDIRECT(ADDRESS(ROW(),COLUMN()-1,4)),UNSPSCCode,0)),IF(INDIRECT(ADDRESS(ROW(),COLUMN()-1,4))="43233415","Software de respaldo o archivo",""))</f>
        <v>Software de respaldo o archivo</v>
      </c>
      <c r="C1095" s="44" t="str">
        <f>IFERROR(VLOOKUP("UD",'[1]Informacion '!P:Q,2,FALSE),"")</f>
        <v>Unidad</v>
      </c>
      <c r="D1095" s="42">
        <v>1</v>
      </c>
      <c r="E1095" s="45">
        <v>128000</v>
      </c>
      <c r="F1095" s="46">
        <f ca="1">INDIRECT(ADDRESS(ROW(),COLUMN()-2,4))*INDIRECT(ADDRESS(ROW(),COLUMN()-1,4))</f>
        <v>128000</v>
      </c>
    </row>
    <row r="1096" spans="1:6" ht="16.5">
      <c r="A1096" s="36"/>
      <c r="B1096" s="36"/>
      <c r="C1096" s="36"/>
      <c r="D1096" s="36"/>
      <c r="E1096" s="47" t="s">
        <v>50</v>
      </c>
      <c r="F1096" s="48">
        <f ca="1">SUM(Table93[MONTO TOTAL ESTIMADO])</f>
        <v>128000</v>
      </c>
    </row>
    <row r="1097" spans="1:6" ht="17.25" thickBot="1">
      <c r="A1097" s="36"/>
      <c r="B1097" s="36"/>
      <c r="C1097" s="36"/>
      <c r="D1097" s="36"/>
      <c r="E1097" s="36"/>
      <c r="F1097" s="36"/>
    </row>
    <row r="1098" spans="1:6" ht="34.5" thickBot="1">
      <c r="A1098" s="1" t="s">
        <v>0</v>
      </c>
      <c r="B1098" s="1" t="s">
        <v>1</v>
      </c>
      <c r="C1098" s="1" t="s">
        <v>2</v>
      </c>
      <c r="D1098" s="1" t="s">
        <v>3</v>
      </c>
      <c r="E1098" s="1" t="s">
        <v>4</v>
      </c>
      <c r="F1098" s="1" t="s">
        <v>5</v>
      </c>
    </row>
    <row r="1099" spans="1:6" ht="15.75" thickBot="1">
      <c r="A1099" s="2" t="s">
        <v>230</v>
      </c>
      <c r="B1099" s="2" t="s">
        <v>231</v>
      </c>
      <c r="C1099" s="2" t="s">
        <v>40</v>
      </c>
      <c r="D1099" s="2" t="s">
        <v>62</v>
      </c>
      <c r="E1099" s="2" t="s">
        <v>63</v>
      </c>
      <c r="F1099" s="2"/>
    </row>
    <row r="1100" spans="1:6" ht="15.75" thickBot="1">
      <c r="A1100" s="3" t="s">
        <v>11</v>
      </c>
      <c r="B1100" s="4" t="s">
        <v>12</v>
      </c>
      <c r="C1100" s="37">
        <v>43410</v>
      </c>
      <c r="D1100" s="3" t="s">
        <v>13</v>
      </c>
      <c r="E1100" s="38" t="s">
        <v>14</v>
      </c>
      <c r="F1100" s="39"/>
    </row>
    <row r="1101" spans="1:6" ht="15.75" thickBot="1">
      <c r="A1101" s="6"/>
      <c r="B1101" s="4" t="s">
        <v>15</v>
      </c>
      <c r="C1101" s="40">
        <f>IF(C1100="","",IF(AND(MONTH(C1100)&gt;=1,MONTH(C1100)&lt;=3),1,IF(AND(MONTH(C1100)&gt;=4,MONTH(C1100)&lt;=6),2,IF(AND(MONTH(C1100)&gt;=7,MONTH(C1100)&lt;=9),3,4))))</f>
        <v>4</v>
      </c>
      <c r="D1101" s="6"/>
      <c r="E1101" s="38" t="s">
        <v>16</v>
      </c>
      <c r="F1101" s="39"/>
    </row>
    <row r="1102" spans="1:6" ht="15.75" thickBot="1">
      <c r="A1102" s="6"/>
      <c r="B1102" s="4" t="s">
        <v>17</v>
      </c>
      <c r="C1102" s="37">
        <v>43411</v>
      </c>
      <c r="D1102" s="6"/>
      <c r="E1102" s="38" t="s">
        <v>18</v>
      </c>
      <c r="F1102" s="39"/>
    </row>
    <row r="1103" spans="1:6" ht="15.75" thickBot="1">
      <c r="A1103" s="6"/>
      <c r="B1103" s="4" t="s">
        <v>15</v>
      </c>
      <c r="C1103" s="40">
        <f>IF(C1102="","",IF(AND(MONTH(C1102)&gt;=1,MONTH(C1102)&lt;=3),1,IF(AND(MONTH(C1102)&gt;=4,MONTH(C1102)&lt;=6),2,IF(AND(MONTH(C1102)&gt;=7,MONTH(C1102)&lt;=9),3,4))))</f>
        <v>4</v>
      </c>
      <c r="D1103" s="6"/>
      <c r="E1103" s="38" t="s">
        <v>19</v>
      </c>
      <c r="F1103" s="39"/>
    </row>
    <row r="1104" spans="1:6" ht="17.25" thickBot="1">
      <c r="A1104" s="36"/>
      <c r="B1104" s="36"/>
      <c r="C1104" s="36"/>
      <c r="D1104" s="36"/>
      <c r="E1104" s="36"/>
      <c r="F1104" s="36"/>
    </row>
    <row r="1105" spans="1:6" ht="15.75" thickBot="1">
      <c r="A1105" s="41" t="s">
        <v>43</v>
      </c>
      <c r="B1105" s="41" t="s">
        <v>44</v>
      </c>
      <c r="C1105" s="41" t="s">
        <v>45</v>
      </c>
      <c r="D1105" s="41" t="s">
        <v>46</v>
      </c>
      <c r="E1105" s="41" t="s">
        <v>47</v>
      </c>
      <c r="F1105" s="41" t="s">
        <v>48</v>
      </c>
    </row>
    <row r="1106" spans="1:6" ht="45">
      <c r="A1106" s="42" t="s">
        <v>95</v>
      </c>
      <c r="B1106" s="43" t="str">
        <f ca="1">IFERROR(INDEX(UNSPSCDes,MATCH(INDIRECT(ADDRESS(ROW(),COLUMN()-1,4)),UNSPSCCode,0)),IF(INDIRECT(ADDRESS(ROW(),COLUMN()-1,4))="50161509","Azucares naturales o productos endulzantes",""))</f>
        <v>Azucares naturales o productos endulzantes</v>
      </c>
      <c r="C1106" s="44" t="str">
        <f>IFERROR(VLOOKUP("PAQ",'[1]Informacion '!P:Q,2,FALSE),"")</f>
        <v>Paquete</v>
      </c>
      <c r="D1106" s="42">
        <v>1</v>
      </c>
      <c r="E1106" s="45">
        <v>95</v>
      </c>
      <c r="F1106" s="46">
        <f ca="1">INDIRECT(ADDRESS(ROW(),COLUMN()-2,4))*INDIRECT(ADDRESS(ROW(),COLUMN()-1,4))</f>
        <v>95</v>
      </c>
    </row>
    <row r="1107" spans="1:6" ht="45">
      <c r="A1107" s="42" t="s">
        <v>95</v>
      </c>
      <c r="B1107" s="43" t="str">
        <f ca="1">IFERROR(INDEX(UNSPSCDes,MATCH(INDIRECT(ADDRESS(ROW(),COLUMN()-1,4)),UNSPSCCode,0)),IF(INDIRECT(ADDRESS(ROW(),COLUMN()-1,4))="50161509","Azucares naturales o productos endulzantes",""))</f>
        <v>Azucares naturales o productos endulzantes</v>
      </c>
      <c r="C1107" s="44" t="str">
        <f>IFERROR(VLOOKUP("UD",'[1]Informacion '!P:Q,2,FALSE),"")</f>
        <v>Unidad</v>
      </c>
      <c r="D1107" s="42">
        <v>2</v>
      </c>
      <c r="E1107" s="45">
        <v>1180</v>
      </c>
      <c r="F1107" s="46">
        <f ca="1">INDIRECT(ADDRESS(ROW(),COLUMN()-2,4))*INDIRECT(ADDRESS(ROW(),COLUMN()-1,4))</f>
        <v>2360</v>
      </c>
    </row>
    <row r="1108" spans="1:6" ht="45">
      <c r="A1108" s="42" t="s">
        <v>95</v>
      </c>
      <c r="B1108" s="43" t="str">
        <f ca="1">IFERROR(INDEX(UNSPSCDes,MATCH(INDIRECT(ADDRESS(ROW(),COLUMN()-1,4)),UNSPSCCode,0)),IF(INDIRECT(ADDRESS(ROW(),COLUMN()-1,4))="50161509","Azucares naturales o productos endulzantes",""))</f>
        <v>Azucares naturales o productos endulzantes</v>
      </c>
      <c r="C1108" s="44" t="str">
        <f>IFERROR(VLOOKUP("UD",'[1]Informacion '!P:Q,2,FALSE),"")</f>
        <v>Unidad</v>
      </c>
      <c r="D1108" s="42">
        <v>1</v>
      </c>
      <c r="E1108" s="45">
        <v>90</v>
      </c>
      <c r="F1108" s="46">
        <f ca="1">INDIRECT(ADDRESS(ROW(),COLUMN()-2,4))*INDIRECT(ADDRESS(ROW(),COLUMN()-1,4))</f>
        <v>90</v>
      </c>
    </row>
    <row r="1109" spans="1:6" ht="45">
      <c r="A1109" s="42" t="s">
        <v>95</v>
      </c>
      <c r="B1109" s="43" t="str">
        <f ca="1">IFERROR(INDEX(UNSPSCDes,MATCH(INDIRECT(ADDRESS(ROW(),COLUMN()-1,4)),UNSPSCCode,0)),IF(INDIRECT(ADDRESS(ROW(),COLUMN()-1,4))="50161509","Azucares naturales o productos endulzantes",""))</f>
        <v>Azucares naturales o productos endulzantes</v>
      </c>
      <c r="C1109" s="44" t="str">
        <f>IFERROR(VLOOKUP("UD",'[1]Informacion '!P:Q,2,FALSE),"")</f>
        <v>Unidad</v>
      </c>
      <c r="D1109" s="42">
        <v>240</v>
      </c>
      <c r="E1109" s="45">
        <v>80</v>
      </c>
      <c r="F1109" s="46">
        <f ca="1">INDIRECT(ADDRESS(ROW(),COLUMN()-2,4))*INDIRECT(ADDRESS(ROW(),COLUMN()-1,4))</f>
        <v>19200</v>
      </c>
    </row>
    <row r="1110" spans="1:6" ht="45">
      <c r="A1110" s="42" t="s">
        <v>95</v>
      </c>
      <c r="B1110" s="43" t="str">
        <f ca="1">IFERROR(INDEX(UNSPSCDes,MATCH(INDIRECT(ADDRESS(ROW(),COLUMN()-1,4)),UNSPSCCode,0)),IF(INDIRECT(ADDRESS(ROW(),COLUMN()-1,4))="50161509","Azucares naturales o productos endulzantes",""))</f>
        <v>Azucares naturales o productos endulzantes</v>
      </c>
      <c r="C1110" s="44" t="str">
        <f>IFERROR(VLOOKUP("UD",'[1]Informacion '!P:Q,2,FALSE),"")</f>
        <v>Unidad</v>
      </c>
      <c r="D1110" s="42">
        <v>240</v>
      </c>
      <c r="E1110" s="45">
        <v>144</v>
      </c>
      <c r="F1110" s="46">
        <f ca="1">INDIRECT(ADDRESS(ROW(),COLUMN()-2,4))*INDIRECT(ADDRESS(ROW(),COLUMN()-1,4))</f>
        <v>34560</v>
      </c>
    </row>
    <row r="1111" spans="1:6" ht="16.5">
      <c r="A1111" s="36"/>
      <c r="B1111" s="36"/>
      <c r="C1111" s="36"/>
      <c r="D1111" s="36"/>
      <c r="E1111" s="47" t="s">
        <v>50</v>
      </c>
      <c r="F1111" s="48">
        <f ca="1">SUM(Table94[MONTO TOTAL ESTIMADO])</f>
        <v>56305</v>
      </c>
    </row>
    <row r="1112" spans="1:6" ht="17.25" thickBot="1">
      <c r="A1112" s="36"/>
      <c r="B1112" s="36"/>
      <c r="C1112" s="36"/>
      <c r="D1112" s="36"/>
      <c r="E1112" s="36"/>
      <c r="F1112" s="36"/>
    </row>
    <row r="1113" spans="1:6" ht="34.5" thickBot="1">
      <c r="A1113" s="1" t="s">
        <v>0</v>
      </c>
      <c r="B1113" s="1" t="s">
        <v>1</v>
      </c>
      <c r="C1113" s="1" t="s">
        <v>2</v>
      </c>
      <c r="D1113" s="1" t="s">
        <v>3</v>
      </c>
      <c r="E1113" s="1" t="s">
        <v>4</v>
      </c>
      <c r="F1113" s="1" t="s">
        <v>5</v>
      </c>
    </row>
    <row r="1114" spans="1:6" ht="15.75" thickBot="1">
      <c r="A1114" s="2" t="s">
        <v>232</v>
      </c>
      <c r="B1114" s="2" t="s">
        <v>233</v>
      </c>
      <c r="C1114" s="2" t="s">
        <v>40</v>
      </c>
      <c r="D1114" s="2" t="s">
        <v>62</v>
      </c>
      <c r="E1114" s="2" t="s">
        <v>63</v>
      </c>
      <c r="F1114" s="2"/>
    </row>
    <row r="1115" spans="1:6" ht="15.75" thickBot="1">
      <c r="A1115" s="3" t="s">
        <v>11</v>
      </c>
      <c r="B1115" s="4" t="s">
        <v>12</v>
      </c>
      <c r="C1115" s="37">
        <v>43313</v>
      </c>
      <c r="D1115" s="3" t="s">
        <v>13</v>
      </c>
      <c r="E1115" s="38" t="s">
        <v>14</v>
      </c>
      <c r="F1115" s="39"/>
    </row>
    <row r="1116" spans="1:6" ht="15.75" thickBot="1">
      <c r="A1116" s="6"/>
      <c r="B1116" s="4" t="s">
        <v>15</v>
      </c>
      <c r="C1116" s="40">
        <f>IF(C1115="","",IF(AND(MONTH(C1115)&gt;=1,MONTH(C1115)&lt;=3),1,IF(AND(MONTH(C1115)&gt;=4,MONTH(C1115)&lt;=6),2,IF(AND(MONTH(C1115)&gt;=7,MONTH(C1115)&lt;=9),3,4))))</f>
        <v>3</v>
      </c>
      <c r="D1116" s="6"/>
      <c r="E1116" s="38" t="s">
        <v>16</v>
      </c>
      <c r="F1116" s="39"/>
    </row>
    <row r="1117" spans="1:6" ht="15.75" thickBot="1">
      <c r="A1117" s="6"/>
      <c r="B1117" s="4" t="s">
        <v>17</v>
      </c>
      <c r="C1117" s="37">
        <v>43314</v>
      </c>
      <c r="D1117" s="6"/>
      <c r="E1117" s="38" t="s">
        <v>18</v>
      </c>
      <c r="F1117" s="39"/>
    </row>
    <row r="1118" spans="1:6" ht="15.75" thickBot="1">
      <c r="A1118" s="6"/>
      <c r="B1118" s="4" t="s">
        <v>15</v>
      </c>
      <c r="C1118" s="40">
        <f>IF(C1117="","",IF(AND(MONTH(C1117)&gt;=1,MONTH(C1117)&lt;=3),1,IF(AND(MONTH(C1117)&gt;=4,MONTH(C1117)&lt;=6),2,IF(AND(MONTH(C1117)&gt;=7,MONTH(C1117)&lt;=9),3,4))))</f>
        <v>3</v>
      </c>
      <c r="D1118" s="6"/>
      <c r="E1118" s="38" t="s">
        <v>19</v>
      </c>
      <c r="F1118" s="39"/>
    </row>
    <row r="1119" spans="1:6" ht="17.25" thickBot="1">
      <c r="A1119" s="36"/>
      <c r="B1119" s="36"/>
      <c r="C1119" s="36"/>
      <c r="D1119" s="36"/>
      <c r="E1119" s="36"/>
      <c r="F1119" s="36"/>
    </row>
    <row r="1120" spans="1:6" ht="15.75" thickBot="1">
      <c r="A1120" s="41" t="s">
        <v>43</v>
      </c>
      <c r="B1120" s="41" t="s">
        <v>44</v>
      </c>
      <c r="C1120" s="41" t="s">
        <v>45</v>
      </c>
      <c r="D1120" s="41" t="s">
        <v>46</v>
      </c>
      <c r="E1120" s="41" t="s">
        <v>47</v>
      </c>
      <c r="F1120" s="41" t="s">
        <v>48</v>
      </c>
    </row>
    <row r="1121" spans="1:6">
      <c r="A1121" s="42" t="s">
        <v>234</v>
      </c>
      <c r="B1121" s="43" t="str">
        <f ca="1">IFERROR(INDEX(UNSPSCDes,MATCH(INDIRECT(ADDRESS(ROW(),COLUMN()-1,4)),UNSPSCCode,0)),IF(INDIRECT(ADDRESS(ROW(),COLUMN()-1,4))="50202301","Agua",""))</f>
        <v>Agua</v>
      </c>
      <c r="C1121" s="44" t="str">
        <f>IFERROR(VLOOKUP("UD",'[1]Informacion '!P:Q,2,FALSE),"")</f>
        <v>Unidad</v>
      </c>
      <c r="D1121" s="42">
        <v>1800</v>
      </c>
      <c r="E1121" s="45">
        <v>40</v>
      </c>
      <c r="F1121" s="46">
        <f ca="1">INDIRECT(ADDRESS(ROW(),COLUMN()-2,4))*INDIRECT(ADDRESS(ROW(),COLUMN()-1,4))</f>
        <v>72000</v>
      </c>
    </row>
    <row r="1122" spans="1:6" ht="16.5">
      <c r="A1122" s="36"/>
      <c r="B1122" s="36"/>
      <c r="C1122" s="36"/>
      <c r="D1122" s="36"/>
      <c r="E1122" s="47" t="s">
        <v>50</v>
      </c>
      <c r="F1122" s="48">
        <f ca="1">SUM(Table95[MONTO TOTAL ESTIMADO])</f>
        <v>72000</v>
      </c>
    </row>
    <row r="1123" spans="1:6" ht="17.25" thickBot="1">
      <c r="A1123" s="36"/>
      <c r="B1123" s="36"/>
      <c r="C1123" s="36"/>
      <c r="D1123" s="36"/>
      <c r="E1123" s="36"/>
      <c r="F1123" s="36"/>
    </row>
    <row r="1124" spans="1:6" ht="34.5" thickBot="1">
      <c r="A1124" s="1" t="s">
        <v>0</v>
      </c>
      <c r="B1124" s="1" t="s">
        <v>1</v>
      </c>
      <c r="C1124" s="1" t="s">
        <v>2</v>
      </c>
      <c r="D1124" s="1" t="s">
        <v>3</v>
      </c>
      <c r="E1124" s="1" t="s">
        <v>4</v>
      </c>
      <c r="F1124" s="1" t="s">
        <v>5</v>
      </c>
    </row>
    <row r="1125" spans="1:6" ht="15.75" thickBot="1">
      <c r="A1125" s="2" t="s">
        <v>235</v>
      </c>
      <c r="B1125" s="2" t="s">
        <v>236</v>
      </c>
      <c r="C1125" s="2" t="s">
        <v>40</v>
      </c>
      <c r="D1125" s="2" t="s">
        <v>62</v>
      </c>
      <c r="E1125" s="2" t="s">
        <v>63</v>
      </c>
      <c r="F1125" s="2"/>
    </row>
    <row r="1126" spans="1:6" ht="15.75" thickBot="1">
      <c r="A1126" s="3" t="s">
        <v>11</v>
      </c>
      <c r="B1126" s="4" t="s">
        <v>12</v>
      </c>
      <c r="C1126" s="37">
        <v>43375</v>
      </c>
      <c r="D1126" s="3" t="s">
        <v>13</v>
      </c>
      <c r="E1126" s="38" t="s">
        <v>14</v>
      </c>
      <c r="F1126" s="39"/>
    </row>
    <row r="1127" spans="1:6" ht="15.75" thickBot="1">
      <c r="A1127" s="6"/>
      <c r="B1127" s="4" t="s">
        <v>15</v>
      </c>
      <c r="C1127" s="40">
        <f>IF(C1126="","",IF(AND(MONTH(C1126)&gt;=1,MONTH(C1126)&lt;=3),1,IF(AND(MONTH(C1126)&gt;=4,MONTH(C1126)&lt;=6),2,IF(AND(MONTH(C1126)&gt;=7,MONTH(C1126)&lt;=9),3,4))))</f>
        <v>4</v>
      </c>
      <c r="D1127" s="6"/>
      <c r="E1127" s="38" t="s">
        <v>16</v>
      </c>
      <c r="F1127" s="39"/>
    </row>
    <row r="1128" spans="1:6" ht="15.75" thickBot="1">
      <c r="A1128" s="6"/>
      <c r="B1128" s="4" t="s">
        <v>17</v>
      </c>
      <c r="C1128" s="37">
        <v>43376</v>
      </c>
      <c r="D1128" s="6"/>
      <c r="E1128" s="38" t="s">
        <v>18</v>
      </c>
      <c r="F1128" s="39"/>
    </row>
    <row r="1129" spans="1:6" ht="15.75" thickBot="1">
      <c r="A1129" s="6"/>
      <c r="B1129" s="4" t="s">
        <v>15</v>
      </c>
      <c r="C1129" s="40">
        <f>IF(C1128="","",IF(AND(MONTH(C1128)&gt;=1,MONTH(C1128)&lt;=3),1,IF(AND(MONTH(C1128)&gt;=4,MONTH(C1128)&lt;=6),2,IF(AND(MONTH(C1128)&gt;=7,MONTH(C1128)&lt;=9),3,4))))</f>
        <v>4</v>
      </c>
      <c r="D1129" s="6"/>
      <c r="E1129" s="38" t="s">
        <v>19</v>
      </c>
      <c r="F1129" s="39"/>
    </row>
    <row r="1130" spans="1:6" ht="17.25" thickBot="1">
      <c r="A1130" s="36"/>
      <c r="B1130" s="36"/>
      <c r="C1130" s="36"/>
      <c r="D1130" s="36"/>
      <c r="E1130" s="36"/>
      <c r="F1130" s="36"/>
    </row>
    <row r="1131" spans="1:6" ht="15.75" thickBot="1">
      <c r="A1131" s="41" t="s">
        <v>43</v>
      </c>
      <c r="B1131" s="41" t="s">
        <v>44</v>
      </c>
      <c r="C1131" s="41" t="s">
        <v>45</v>
      </c>
      <c r="D1131" s="41" t="s">
        <v>46</v>
      </c>
      <c r="E1131" s="41" t="s">
        <v>47</v>
      </c>
      <c r="F1131" s="41" t="s">
        <v>48</v>
      </c>
    </row>
    <row r="1132" spans="1:6" ht="33.75">
      <c r="A1132" s="42" t="s">
        <v>237</v>
      </c>
      <c r="B1132" s="43" t="str">
        <f ca="1">IFERROR(INDEX(UNSPSCDes,MATCH(INDIRECT(ADDRESS(ROW(),COLUMN()-1,4)),UNSPSCCode,0)),IF(INDIRECT(ADDRESS(ROW(),COLUMN()-1,4))="47131701","Dispensadores de toallas de papel",""))</f>
        <v>Dispensadores de toallas de papel</v>
      </c>
      <c r="C1132" s="44" t="str">
        <f>IFERROR(VLOOKUP("UD",'[1]Informacion '!P:Q,2,FALSE),"")</f>
        <v>Unidad</v>
      </c>
      <c r="D1132" s="42">
        <v>1</v>
      </c>
      <c r="E1132" s="45">
        <v>95</v>
      </c>
      <c r="F1132" s="46">
        <f ca="1">INDIRECT(ADDRESS(ROW(),COLUMN()-2,4))*INDIRECT(ADDRESS(ROW(),COLUMN()-1,4))</f>
        <v>95</v>
      </c>
    </row>
    <row r="1133" spans="1:6">
      <c r="A1133" s="42"/>
      <c r="B1133" s="43" t="str">
        <f ca="1">IFERROR(INDEX(UNSPSCDes,MATCH(INDIRECT(ADDRESS(ROW(),COLUMN()-1,4)),UNSPSCCode,0)),"")</f>
        <v/>
      </c>
      <c r="C1133" s="44" t="str">
        <f>IFERROR(VLOOKUP("UD",'[1]Informacion '!P:Q,2,FALSE),"")</f>
        <v>Unidad</v>
      </c>
      <c r="D1133" s="42">
        <v>1</v>
      </c>
      <c r="E1133" s="45">
        <v>90</v>
      </c>
      <c r="F1133" s="46">
        <f ca="1">INDIRECT(ADDRESS(ROW(),COLUMN()-2,4))*INDIRECT(ADDRESS(ROW(),COLUMN()-1,4))</f>
        <v>90</v>
      </c>
    </row>
    <row r="1134" spans="1:6" ht="16.5">
      <c r="A1134" s="36"/>
      <c r="B1134" s="36"/>
      <c r="C1134" s="36"/>
      <c r="D1134" s="36"/>
      <c r="E1134" s="47" t="s">
        <v>50</v>
      </c>
      <c r="F1134" s="48">
        <f ca="1">SUM(Table96[MONTO TOTAL ESTIMADO])</f>
        <v>185</v>
      </c>
    </row>
    <row r="1135" spans="1:6" ht="17.25" thickBot="1">
      <c r="A1135" s="36"/>
      <c r="B1135" s="36"/>
      <c r="C1135" s="36"/>
      <c r="D1135" s="36"/>
      <c r="E1135" s="36"/>
      <c r="F1135" s="36"/>
    </row>
    <row r="1136" spans="1:6" ht="34.5" thickBot="1">
      <c r="A1136" s="1" t="s">
        <v>0</v>
      </c>
      <c r="B1136" s="1" t="s">
        <v>1</v>
      </c>
      <c r="C1136" s="1" t="s">
        <v>2</v>
      </c>
      <c r="D1136" s="1" t="s">
        <v>3</v>
      </c>
      <c r="E1136" s="1" t="s">
        <v>4</v>
      </c>
      <c r="F1136" s="1" t="s">
        <v>5</v>
      </c>
    </row>
    <row r="1137" spans="1:6" ht="15.75" thickBot="1">
      <c r="A1137" s="2" t="s">
        <v>238</v>
      </c>
      <c r="B1137" s="2" t="s">
        <v>239</v>
      </c>
      <c r="C1137" s="2" t="s">
        <v>40</v>
      </c>
      <c r="D1137" s="2" t="s">
        <v>62</v>
      </c>
      <c r="E1137" s="2" t="s">
        <v>63</v>
      </c>
      <c r="F1137" s="2"/>
    </row>
    <row r="1138" spans="1:6" ht="15.75" thickBot="1">
      <c r="A1138" s="3" t="s">
        <v>11</v>
      </c>
      <c r="B1138" s="4" t="s">
        <v>12</v>
      </c>
      <c r="C1138" s="37">
        <v>43438</v>
      </c>
      <c r="D1138" s="3" t="s">
        <v>13</v>
      </c>
      <c r="E1138" s="38" t="s">
        <v>14</v>
      </c>
      <c r="F1138" s="39"/>
    </row>
    <row r="1139" spans="1:6" ht="15.75" thickBot="1">
      <c r="A1139" s="6"/>
      <c r="B1139" s="4" t="s">
        <v>15</v>
      </c>
      <c r="C1139" s="40">
        <f>IF(C1138="","",IF(AND(MONTH(C1138)&gt;=1,MONTH(C1138)&lt;=3),1,IF(AND(MONTH(C1138)&gt;=4,MONTH(C1138)&lt;=6),2,IF(AND(MONTH(C1138)&gt;=7,MONTH(C1138)&lt;=9),3,4))))</f>
        <v>4</v>
      </c>
      <c r="D1139" s="6"/>
      <c r="E1139" s="38" t="s">
        <v>16</v>
      </c>
      <c r="F1139" s="39"/>
    </row>
    <row r="1140" spans="1:6" ht="15.75" thickBot="1">
      <c r="A1140" s="6"/>
      <c r="B1140" s="4" t="s">
        <v>17</v>
      </c>
      <c r="C1140" s="37">
        <v>43439</v>
      </c>
      <c r="D1140" s="6"/>
      <c r="E1140" s="38" t="s">
        <v>18</v>
      </c>
      <c r="F1140" s="39"/>
    </row>
    <row r="1141" spans="1:6" ht="15.75" thickBot="1">
      <c r="A1141" s="6"/>
      <c r="B1141" s="4" t="s">
        <v>15</v>
      </c>
      <c r="C1141" s="40">
        <f>IF(C1140="","",IF(AND(MONTH(C1140)&gt;=1,MONTH(C1140)&lt;=3),1,IF(AND(MONTH(C1140)&gt;=4,MONTH(C1140)&lt;=6),2,IF(AND(MONTH(C1140)&gt;=7,MONTH(C1140)&lt;=9),3,4))))</f>
        <v>4</v>
      </c>
      <c r="D1141" s="6"/>
      <c r="E1141" s="38" t="s">
        <v>19</v>
      </c>
      <c r="F1141" s="39"/>
    </row>
    <row r="1142" spans="1:6" ht="17.25" thickBot="1">
      <c r="A1142" s="36"/>
      <c r="B1142" s="36"/>
      <c r="C1142" s="36"/>
      <c r="D1142" s="36"/>
      <c r="E1142" s="36"/>
      <c r="F1142" s="36"/>
    </row>
    <row r="1143" spans="1:6" ht="15.75" thickBot="1">
      <c r="A1143" s="41" t="s">
        <v>43</v>
      </c>
      <c r="B1143" s="41" t="s">
        <v>44</v>
      </c>
      <c r="C1143" s="41" t="s">
        <v>45</v>
      </c>
      <c r="D1143" s="41" t="s">
        <v>46</v>
      </c>
      <c r="E1143" s="41" t="s">
        <v>47</v>
      </c>
      <c r="F1143" s="41" t="s">
        <v>48</v>
      </c>
    </row>
    <row r="1144" spans="1:6" ht="22.5">
      <c r="A1144" s="42" t="s">
        <v>195</v>
      </c>
      <c r="B1144" s="43" t="str">
        <f ca="1">IFERROR(INDEX(UNSPSCDes,MATCH(INDIRECT(ADDRESS(ROW(),COLUMN()-1,4)),UNSPSCCode,0)),IF(INDIRECT(ADDRESS(ROW(),COLUMN()-1,4))="14111511","Papel de escritura",""))</f>
        <v>Papel de escritura</v>
      </c>
      <c r="C1144" s="44" t="str">
        <f>IFERROR(VLOOKUP("UD",'[1]Informacion '!P:Q,2,FALSE),"")</f>
        <v>Unidad</v>
      </c>
      <c r="D1144" s="42">
        <v>25</v>
      </c>
      <c r="E1144" s="45">
        <v>238</v>
      </c>
      <c r="F1144" s="46">
        <f ca="1">INDIRECT(ADDRESS(ROW(),COLUMN()-2,4))*INDIRECT(ADDRESS(ROW(),COLUMN()-1,4))</f>
        <v>5950</v>
      </c>
    </row>
    <row r="1145" spans="1:6" ht="22.5">
      <c r="A1145" s="42" t="s">
        <v>195</v>
      </c>
      <c r="B1145" s="43" t="str">
        <f ca="1">IFERROR(INDEX(UNSPSCDes,MATCH(INDIRECT(ADDRESS(ROW(),COLUMN()-1,4)),UNSPSCCode,0)),IF(INDIRECT(ADDRESS(ROW(),COLUMN()-1,4))="14111511","Papel de escritura",""))</f>
        <v>Papel de escritura</v>
      </c>
      <c r="C1145" s="44" t="str">
        <f>IFERROR(VLOOKUP("UD",'[1]Informacion '!P:Q,2,FALSE),"")</f>
        <v>Unidad</v>
      </c>
      <c r="D1145" s="42">
        <v>25</v>
      </c>
      <c r="E1145" s="45">
        <v>238</v>
      </c>
      <c r="F1145" s="46">
        <f ca="1">INDIRECT(ADDRESS(ROW(),COLUMN()-2,4))*INDIRECT(ADDRESS(ROW(),COLUMN()-1,4))</f>
        <v>5950</v>
      </c>
    </row>
    <row r="1146" spans="1:6" ht="22.5">
      <c r="A1146" s="42" t="s">
        <v>195</v>
      </c>
      <c r="B1146" s="43" t="str">
        <f ca="1">IFERROR(INDEX(UNSPSCDes,MATCH(INDIRECT(ADDRESS(ROW(),COLUMN()-1,4)),UNSPSCCode,0)),IF(INDIRECT(ADDRESS(ROW(),COLUMN()-1,4))="14111511","Papel de escritura",""))</f>
        <v>Papel de escritura</v>
      </c>
      <c r="C1146" s="44" t="str">
        <f>IFERROR(VLOOKUP("UD",'[1]Informacion '!P:Q,2,FALSE),"")</f>
        <v>Unidad</v>
      </c>
      <c r="D1146" s="42">
        <v>25</v>
      </c>
      <c r="E1146" s="45">
        <v>238</v>
      </c>
      <c r="F1146" s="46">
        <f ca="1">INDIRECT(ADDRESS(ROW(),COLUMN()-2,4))*INDIRECT(ADDRESS(ROW(),COLUMN()-1,4))</f>
        <v>5950</v>
      </c>
    </row>
    <row r="1147" spans="1:6" ht="16.5">
      <c r="A1147" s="36"/>
      <c r="B1147" s="36"/>
      <c r="C1147" s="36"/>
      <c r="D1147" s="36"/>
      <c r="E1147" s="47" t="s">
        <v>50</v>
      </c>
      <c r="F1147" s="48">
        <f ca="1">SUM(Table97[MONTO TOTAL ESTIMADO])</f>
        <v>17850</v>
      </c>
    </row>
    <row r="1148" spans="1:6" ht="17.25" thickBot="1">
      <c r="A1148" s="36"/>
      <c r="B1148" s="36"/>
      <c r="C1148" s="36"/>
      <c r="D1148" s="36"/>
      <c r="E1148" s="36"/>
      <c r="F1148" s="36"/>
    </row>
    <row r="1149" spans="1:6" ht="34.5" thickBot="1">
      <c r="A1149" s="1" t="s">
        <v>0</v>
      </c>
      <c r="B1149" s="1" t="s">
        <v>1</v>
      </c>
      <c r="C1149" s="1" t="s">
        <v>2</v>
      </c>
      <c r="D1149" s="1" t="s">
        <v>3</v>
      </c>
      <c r="E1149" s="1" t="s">
        <v>4</v>
      </c>
      <c r="F1149" s="1" t="s">
        <v>5</v>
      </c>
    </row>
    <row r="1150" spans="1:6" ht="15.75" thickBot="1">
      <c r="A1150" s="2" t="s">
        <v>240</v>
      </c>
      <c r="B1150" s="2" t="s">
        <v>241</v>
      </c>
      <c r="C1150" s="2" t="s">
        <v>40</v>
      </c>
      <c r="D1150" s="2" t="s">
        <v>62</v>
      </c>
      <c r="E1150" s="2" t="s">
        <v>42</v>
      </c>
      <c r="F1150" s="2"/>
    </row>
    <row r="1151" spans="1:6" ht="15.75" thickBot="1">
      <c r="A1151" s="3" t="s">
        <v>11</v>
      </c>
      <c r="B1151" s="4" t="s">
        <v>12</v>
      </c>
      <c r="C1151" s="37">
        <v>43284</v>
      </c>
      <c r="D1151" s="3" t="s">
        <v>13</v>
      </c>
      <c r="E1151" s="38" t="s">
        <v>14</v>
      </c>
      <c r="F1151" s="39"/>
    </row>
    <row r="1152" spans="1:6" ht="15.75" thickBot="1">
      <c r="A1152" s="6"/>
      <c r="B1152" s="4" t="s">
        <v>15</v>
      </c>
      <c r="C1152" s="40">
        <f>IF(C1151="","",IF(AND(MONTH(C1151)&gt;=1,MONTH(C1151)&lt;=3),1,IF(AND(MONTH(C1151)&gt;=4,MONTH(C1151)&lt;=6),2,IF(AND(MONTH(C1151)&gt;=7,MONTH(C1151)&lt;=9),3,4))))</f>
        <v>3</v>
      </c>
      <c r="D1152" s="6"/>
      <c r="E1152" s="38" t="s">
        <v>16</v>
      </c>
      <c r="F1152" s="39"/>
    </row>
    <row r="1153" spans="1:6" ht="15.75" thickBot="1">
      <c r="A1153" s="6"/>
      <c r="B1153" s="4" t="s">
        <v>17</v>
      </c>
      <c r="C1153" s="37">
        <v>43286</v>
      </c>
      <c r="D1153" s="6"/>
      <c r="E1153" s="38" t="s">
        <v>18</v>
      </c>
      <c r="F1153" s="39"/>
    </row>
    <row r="1154" spans="1:6" ht="15.75" thickBot="1">
      <c r="A1154" s="6"/>
      <c r="B1154" s="4" t="s">
        <v>15</v>
      </c>
      <c r="C1154" s="40">
        <f>IF(C1153="","",IF(AND(MONTH(C1153)&gt;=1,MONTH(C1153)&lt;=3),1,IF(AND(MONTH(C1153)&gt;=4,MONTH(C1153)&lt;=6),2,IF(AND(MONTH(C1153)&gt;=7,MONTH(C1153)&lt;=9),3,4))))</f>
        <v>3</v>
      </c>
      <c r="D1154" s="6"/>
      <c r="E1154" s="38" t="s">
        <v>19</v>
      </c>
      <c r="F1154" s="39"/>
    </row>
    <row r="1155" spans="1:6" ht="17.25" thickBot="1">
      <c r="A1155" s="36"/>
      <c r="B1155" s="36"/>
      <c r="C1155" s="36"/>
      <c r="D1155" s="36"/>
      <c r="E1155" s="36"/>
      <c r="F1155" s="36"/>
    </row>
    <row r="1156" spans="1:6" ht="15.75" thickBot="1">
      <c r="A1156" s="41" t="s">
        <v>43</v>
      </c>
      <c r="B1156" s="41" t="s">
        <v>44</v>
      </c>
      <c r="C1156" s="41" t="s">
        <v>45</v>
      </c>
      <c r="D1156" s="41" t="s">
        <v>46</v>
      </c>
      <c r="E1156" s="41" t="s">
        <v>47</v>
      </c>
      <c r="F1156" s="41" t="s">
        <v>48</v>
      </c>
    </row>
    <row r="1157" spans="1:6" ht="33.75">
      <c r="A1157" s="42" t="s">
        <v>242</v>
      </c>
      <c r="B1157" s="43" t="str">
        <f ca="1">IFERROR(INDEX(UNSPSCDes,MATCH(INDIRECT(ADDRESS(ROW(),COLUMN()-1,4)),UNSPSCCode,0)),IF(INDIRECT(ADDRESS(ROW(),COLUMN()-1,4))="44101602","Máquinas perforadoras o para unir papel",""))</f>
        <v>Máquinas perforadoras o para unir papel</v>
      </c>
      <c r="C1157" s="44" t="str">
        <f>IFERROR(VLOOKUP("UD",'[1]Informacion '!P:Q,2,FALSE),"")</f>
        <v>Unidad</v>
      </c>
      <c r="D1157" s="42">
        <v>25</v>
      </c>
      <c r="E1157" s="45">
        <v>260</v>
      </c>
      <c r="F1157" s="46">
        <f t="shared" ref="F1157:F1169" ca="1" si="6">INDIRECT(ADDRESS(ROW(),COLUMN()-2,4))*INDIRECT(ADDRESS(ROW(),COLUMN()-1,4))</f>
        <v>6500</v>
      </c>
    </row>
    <row r="1158" spans="1:6" ht="22.5">
      <c r="A1158" s="42" t="s">
        <v>98</v>
      </c>
      <c r="B1158" s="43" t="str">
        <f ca="1">IFERROR(INDEX(UNSPSCDes,MATCH(INDIRECT(ADDRESS(ROW(),COLUMN()-1,4)),UNSPSCCode,0)),IF(INDIRECT(ADDRESS(ROW(),COLUMN()-1,4))="14111530","Papel de notas autoadhesivas",""))</f>
        <v>Papel de notas autoadhesivas</v>
      </c>
      <c r="C1158" s="44" t="str">
        <f>IFERROR(VLOOKUP("UD",'[1]Informacion '!P:Q,2,FALSE),"")</f>
        <v>Unidad</v>
      </c>
      <c r="D1158" s="42">
        <v>150</v>
      </c>
      <c r="E1158" s="45">
        <v>18</v>
      </c>
      <c r="F1158" s="46">
        <f t="shared" ca="1" si="6"/>
        <v>2700</v>
      </c>
    </row>
    <row r="1159" spans="1:6" ht="22.5">
      <c r="A1159" s="42" t="s">
        <v>100</v>
      </c>
      <c r="B1159" s="43" t="str">
        <f ca="1">IFERROR(INDEX(UNSPSCDes,MATCH(INDIRECT(ADDRESS(ROW(),COLUMN()-1,4)),UNSPSCCode,0)),IF(INDIRECT(ADDRESS(ROW(),COLUMN()-1,4))="60121526","Bolígrafos para caligrafía",""))</f>
        <v>Bolígrafos para caligrafía</v>
      </c>
      <c r="C1159" s="44" t="str">
        <f>IFERROR(VLOOKUP("UD",'[1]Informacion '!P:Q,2,FALSE),"")</f>
        <v>Unidad</v>
      </c>
      <c r="D1159" s="42">
        <v>60</v>
      </c>
      <c r="E1159" s="45">
        <v>26</v>
      </c>
      <c r="F1159" s="46">
        <f t="shared" ca="1" si="6"/>
        <v>1560</v>
      </c>
    </row>
    <row r="1160" spans="1:6" ht="22.5">
      <c r="A1160" s="42" t="s">
        <v>100</v>
      </c>
      <c r="B1160" s="43" t="str">
        <f ca="1">IFERROR(INDEX(UNSPSCDes,MATCH(INDIRECT(ADDRESS(ROW(),COLUMN()-1,4)),UNSPSCCode,0)),IF(INDIRECT(ADDRESS(ROW(),COLUMN()-1,4))="60121526","Bolígrafos para caligrafía",""))</f>
        <v>Bolígrafos para caligrafía</v>
      </c>
      <c r="C1160" s="44" t="str">
        <f>IFERROR(VLOOKUP("UD",'[1]Informacion '!P:Q,2,FALSE),"")</f>
        <v>Unidad</v>
      </c>
      <c r="D1160" s="42">
        <v>800</v>
      </c>
      <c r="E1160" s="45">
        <v>7</v>
      </c>
      <c r="F1160" s="46">
        <f t="shared" ca="1" si="6"/>
        <v>5600</v>
      </c>
    </row>
    <row r="1161" spans="1:6" ht="22.5">
      <c r="A1161" s="42" t="s">
        <v>100</v>
      </c>
      <c r="B1161" s="43" t="str">
        <f ca="1">IFERROR(INDEX(UNSPSCDes,MATCH(INDIRECT(ADDRESS(ROW(),COLUMN()-1,4)),UNSPSCCode,0)),IF(INDIRECT(ADDRESS(ROW(),COLUMN()-1,4))="60121526","Bolígrafos para caligrafía",""))</f>
        <v>Bolígrafos para caligrafía</v>
      </c>
      <c r="C1161" s="44" t="str">
        <f>IFERROR(VLOOKUP("UD",'[1]Informacion '!P:Q,2,FALSE),"")</f>
        <v>Unidad</v>
      </c>
      <c r="D1161" s="42">
        <v>1226</v>
      </c>
      <c r="E1161" s="45">
        <v>6</v>
      </c>
      <c r="F1161" s="46">
        <f t="shared" ca="1" si="6"/>
        <v>7356</v>
      </c>
    </row>
    <row r="1162" spans="1:6" ht="22.5">
      <c r="A1162" s="42" t="s">
        <v>243</v>
      </c>
      <c r="B1162" s="43" t="str">
        <f t="shared" ref="B1162:B1169" ca="1" si="7">IFERROR(INDEX(UNSPSCDes,MATCH(INDIRECT(ADDRESS(ROW(),COLUMN()-1,4)),UNSPSCCode,0)),IF(INDIRECT(ADDRESS(ROW(),COLUMN()-1,4))="43232503","Correctores de ortografía",""))</f>
        <v>Correctores de ortografía</v>
      </c>
      <c r="C1162" s="44" t="str">
        <f>IFERROR(VLOOKUP("UD",'[1]Informacion '!P:Q,2,FALSE),"")</f>
        <v>Unidad</v>
      </c>
      <c r="D1162" s="42">
        <v>1226</v>
      </c>
      <c r="E1162" s="45">
        <v>6</v>
      </c>
      <c r="F1162" s="46">
        <f t="shared" ca="1" si="6"/>
        <v>7356</v>
      </c>
    </row>
    <row r="1163" spans="1:6" ht="22.5">
      <c r="A1163" s="42" t="s">
        <v>243</v>
      </c>
      <c r="B1163" s="43" t="str">
        <f t="shared" ca="1" si="7"/>
        <v>Correctores de ortografía</v>
      </c>
      <c r="C1163" s="44" t="str">
        <f>IFERROR(VLOOKUP("UD",'[1]Informacion '!P:Q,2,FALSE),"")</f>
        <v>Unidad</v>
      </c>
      <c r="D1163" s="42">
        <v>192</v>
      </c>
      <c r="E1163" s="45">
        <v>25</v>
      </c>
      <c r="F1163" s="46">
        <f t="shared" ca="1" si="6"/>
        <v>4800</v>
      </c>
    </row>
    <row r="1164" spans="1:6" ht="22.5">
      <c r="A1164" s="42" t="s">
        <v>243</v>
      </c>
      <c r="B1164" s="43" t="str">
        <f t="shared" ca="1" si="7"/>
        <v>Correctores de ortografía</v>
      </c>
      <c r="C1164" s="44" t="str">
        <f>IFERROR(VLOOKUP("UD",'[1]Informacion '!P:Q,2,FALSE),"")</f>
        <v>Unidad</v>
      </c>
      <c r="D1164" s="42">
        <v>200</v>
      </c>
      <c r="E1164" s="45">
        <v>15</v>
      </c>
      <c r="F1164" s="46">
        <f t="shared" ca="1" si="6"/>
        <v>3000</v>
      </c>
    </row>
    <row r="1165" spans="1:6" ht="22.5">
      <c r="A1165" s="42" t="s">
        <v>243</v>
      </c>
      <c r="B1165" s="43" t="str">
        <f t="shared" ca="1" si="7"/>
        <v>Correctores de ortografía</v>
      </c>
      <c r="C1165" s="44" t="str">
        <f>IFERROR(VLOOKUP("UD",'[1]Informacion '!P:Q,2,FALSE),"")</f>
        <v>Unidad</v>
      </c>
      <c r="D1165" s="42">
        <v>10</v>
      </c>
      <c r="E1165" s="45">
        <v>150</v>
      </c>
      <c r="F1165" s="46">
        <f t="shared" ca="1" si="6"/>
        <v>1500</v>
      </c>
    </row>
    <row r="1166" spans="1:6" ht="22.5">
      <c r="A1166" s="42" t="s">
        <v>243</v>
      </c>
      <c r="B1166" s="43" t="str">
        <f t="shared" ca="1" si="7"/>
        <v>Correctores de ortografía</v>
      </c>
      <c r="C1166" s="44" t="str">
        <f>IFERROR(VLOOKUP("UD",'[1]Informacion '!P:Q,2,FALSE),"")</f>
        <v>Unidad</v>
      </c>
      <c r="D1166" s="42">
        <v>10</v>
      </c>
      <c r="E1166" s="45">
        <v>200</v>
      </c>
      <c r="F1166" s="46">
        <f t="shared" ca="1" si="6"/>
        <v>2000</v>
      </c>
    </row>
    <row r="1167" spans="1:6" ht="22.5">
      <c r="A1167" s="42" t="s">
        <v>243</v>
      </c>
      <c r="B1167" s="43" t="str">
        <f t="shared" ca="1" si="7"/>
        <v>Correctores de ortografía</v>
      </c>
      <c r="C1167" s="44" t="str">
        <f>IFERROR(VLOOKUP("UD",'[1]Informacion '!P:Q,2,FALSE),"")</f>
        <v>Unidad</v>
      </c>
      <c r="D1167" s="42">
        <v>213</v>
      </c>
      <c r="E1167" s="45">
        <v>30</v>
      </c>
      <c r="F1167" s="46">
        <f t="shared" ca="1" si="6"/>
        <v>6390</v>
      </c>
    </row>
    <row r="1168" spans="1:6" ht="22.5">
      <c r="A1168" s="42" t="s">
        <v>243</v>
      </c>
      <c r="B1168" s="43" t="str">
        <f t="shared" ca="1" si="7"/>
        <v>Correctores de ortografía</v>
      </c>
      <c r="C1168" s="44" t="str">
        <f>IFERROR(VLOOKUP("UD",'[1]Informacion '!P:Q,2,FALSE),"")</f>
        <v>Unidad</v>
      </c>
      <c r="D1168" s="42">
        <v>270</v>
      </c>
      <c r="E1168" s="45">
        <v>40</v>
      </c>
      <c r="F1168" s="46">
        <f t="shared" ca="1" si="6"/>
        <v>10800</v>
      </c>
    </row>
    <row r="1169" spans="1:6" ht="22.5">
      <c r="A1169" s="42" t="s">
        <v>243</v>
      </c>
      <c r="B1169" s="43" t="str">
        <f t="shared" ca="1" si="7"/>
        <v>Correctores de ortografía</v>
      </c>
      <c r="C1169" s="44" t="str">
        <f>IFERROR(VLOOKUP("UD",'[1]Informacion '!P:Q,2,FALSE),"")</f>
        <v>Unidad</v>
      </c>
      <c r="D1169" s="42">
        <v>72</v>
      </c>
      <c r="E1169" s="45">
        <v>30</v>
      </c>
      <c r="F1169" s="46">
        <f t="shared" ca="1" si="6"/>
        <v>2160</v>
      </c>
    </row>
    <row r="1170" spans="1:6" ht="16.5">
      <c r="A1170" s="36"/>
      <c r="B1170" s="36"/>
      <c r="C1170" s="36"/>
      <c r="D1170" s="36"/>
      <c r="E1170" s="47" t="s">
        <v>50</v>
      </c>
      <c r="F1170" s="48">
        <f ca="1">SUM(Table98[MONTO TOTAL ESTIMADO])</f>
        <v>61722</v>
      </c>
    </row>
    <row r="1171" spans="1:6" ht="17.25" thickBot="1">
      <c r="A1171" s="36"/>
      <c r="B1171" s="36"/>
      <c r="C1171" s="36"/>
      <c r="D1171" s="36"/>
      <c r="E1171" s="36"/>
      <c r="F1171" s="36"/>
    </row>
    <row r="1172" spans="1:6" ht="34.5" thickBot="1">
      <c r="A1172" s="1" t="s">
        <v>0</v>
      </c>
      <c r="B1172" s="1" t="s">
        <v>1</v>
      </c>
      <c r="C1172" s="1" t="s">
        <v>2</v>
      </c>
      <c r="D1172" s="1" t="s">
        <v>3</v>
      </c>
      <c r="E1172" s="1" t="s">
        <v>4</v>
      </c>
      <c r="F1172" s="1" t="s">
        <v>5</v>
      </c>
    </row>
    <row r="1173" spans="1:6" ht="15.75" thickBot="1">
      <c r="A1173" s="2" t="s">
        <v>244</v>
      </c>
      <c r="B1173" s="2" t="s">
        <v>244</v>
      </c>
      <c r="C1173" s="2" t="s">
        <v>40</v>
      </c>
      <c r="D1173" s="2" t="s">
        <v>53</v>
      </c>
      <c r="E1173" s="2" t="s">
        <v>42</v>
      </c>
      <c r="F1173" s="2"/>
    </row>
    <row r="1174" spans="1:6" ht="15.75" thickBot="1">
      <c r="A1174" s="3" t="s">
        <v>11</v>
      </c>
      <c r="B1174" s="4" t="s">
        <v>12</v>
      </c>
      <c r="C1174" s="37">
        <v>43333</v>
      </c>
      <c r="D1174" s="3" t="s">
        <v>13</v>
      </c>
      <c r="E1174" s="38" t="s">
        <v>14</v>
      </c>
      <c r="F1174" s="39"/>
    </row>
    <row r="1175" spans="1:6" ht="15.75" thickBot="1">
      <c r="A1175" s="6"/>
      <c r="B1175" s="4" t="s">
        <v>15</v>
      </c>
      <c r="C1175" s="40">
        <f>IF(C1174="","",IF(AND(MONTH(C1174)&gt;=1,MONTH(C1174)&lt;=3),1,IF(AND(MONTH(C1174)&gt;=4,MONTH(C1174)&lt;=6),2,IF(AND(MONTH(C1174)&gt;=7,MONTH(C1174)&lt;=9),3,4))))</f>
        <v>3</v>
      </c>
      <c r="D1175" s="6"/>
      <c r="E1175" s="38" t="s">
        <v>16</v>
      </c>
      <c r="F1175" s="39"/>
    </row>
    <row r="1176" spans="1:6" ht="15.75" thickBot="1">
      <c r="A1176" s="6"/>
      <c r="B1176" s="4" t="s">
        <v>17</v>
      </c>
      <c r="C1176" s="37">
        <v>43335</v>
      </c>
      <c r="D1176" s="6"/>
      <c r="E1176" s="38" t="s">
        <v>18</v>
      </c>
      <c r="F1176" s="39"/>
    </row>
    <row r="1177" spans="1:6" ht="15.75" thickBot="1">
      <c r="A1177" s="6"/>
      <c r="B1177" s="4" t="s">
        <v>15</v>
      </c>
      <c r="C1177" s="40">
        <f>IF(C1176="","",IF(AND(MONTH(C1176)&gt;=1,MONTH(C1176)&lt;=3),1,IF(AND(MONTH(C1176)&gt;=4,MONTH(C1176)&lt;=6),2,IF(AND(MONTH(C1176)&gt;=7,MONTH(C1176)&lt;=9),3,4))))</f>
        <v>3</v>
      </c>
      <c r="D1177" s="6"/>
      <c r="E1177" s="38" t="s">
        <v>19</v>
      </c>
      <c r="F1177" s="39"/>
    </row>
    <row r="1178" spans="1:6" ht="17.25" thickBot="1">
      <c r="A1178" s="36"/>
      <c r="B1178" s="36"/>
      <c r="C1178" s="36"/>
      <c r="D1178" s="36"/>
      <c r="E1178" s="36"/>
      <c r="F1178" s="36"/>
    </row>
    <row r="1179" spans="1:6" ht="15.75" thickBot="1">
      <c r="A1179" s="41" t="s">
        <v>43</v>
      </c>
      <c r="B1179" s="41" t="s">
        <v>44</v>
      </c>
      <c r="C1179" s="41" t="s">
        <v>45</v>
      </c>
      <c r="D1179" s="41" t="s">
        <v>46</v>
      </c>
      <c r="E1179" s="41" t="s">
        <v>47</v>
      </c>
      <c r="F1179" s="41" t="s">
        <v>48</v>
      </c>
    </row>
    <row r="1180" spans="1:6" ht="22.5">
      <c r="A1180" s="42" t="s">
        <v>245</v>
      </c>
      <c r="B1180" s="43" t="str">
        <f ca="1">IFERROR(INDEX(UNSPSCDes,MATCH(INDIRECT(ADDRESS(ROW(),COLUMN()-1,4)),UNSPSCCode,0)),IF(INDIRECT(ADDRESS(ROW(),COLUMN()-1,4))="44103105","Cartuchos de tinta",""))</f>
        <v>Cartuchos de tinta</v>
      </c>
      <c r="C1180" s="44" t="str">
        <f>IFERROR(VLOOKUP("UD",'[1]Informacion '!P:Q,2,FALSE),"")</f>
        <v>Unidad</v>
      </c>
      <c r="D1180" s="42">
        <v>1</v>
      </c>
      <c r="E1180" s="45">
        <v>1000</v>
      </c>
      <c r="F1180" s="46">
        <f t="shared" ref="F1180:F1194" ca="1" si="8">INDIRECT(ADDRESS(ROW(),COLUMN()-2,4))*INDIRECT(ADDRESS(ROW(),COLUMN()-1,4))</f>
        <v>1000</v>
      </c>
    </row>
    <row r="1181" spans="1:6" ht="22.5">
      <c r="A1181" s="42" t="s">
        <v>245</v>
      </c>
      <c r="B1181" s="43" t="str">
        <f ca="1">IFERROR(INDEX(UNSPSCDes,MATCH(INDIRECT(ADDRESS(ROW(),COLUMN()-1,4)),UNSPSCCode,0)),IF(INDIRECT(ADDRESS(ROW(),COLUMN()-1,4))="44103105","Cartuchos de tinta",""))</f>
        <v>Cartuchos de tinta</v>
      </c>
      <c r="C1181" s="44" t="str">
        <f>IFERROR(VLOOKUP("UD",'[1]Informacion '!P:Q,2,FALSE),"")</f>
        <v>Unidad</v>
      </c>
      <c r="D1181" s="42">
        <v>1</v>
      </c>
      <c r="E1181" s="45">
        <v>1000</v>
      </c>
      <c r="F1181" s="46">
        <f t="shared" ca="1" si="8"/>
        <v>1000</v>
      </c>
    </row>
    <row r="1182" spans="1:6" ht="33.75">
      <c r="A1182" s="42" t="s">
        <v>148</v>
      </c>
      <c r="B1182" s="43" t="str">
        <f t="shared" ref="B1182:B1194" ca="1" si="9">IFERROR(INDEX(UNSPSCDes,MATCH(INDIRECT(ADDRESS(ROW(),COLUMN()-1,4)),UNSPSCCode,0)),IF(INDIRECT(ADDRESS(ROW(),COLUMN()-1,4))="44103103","Tóner para impresoras o fax",""))</f>
        <v>Tóner para impresoras o fax</v>
      </c>
      <c r="C1182" s="44" t="str">
        <f>IFERROR(VLOOKUP("UD",'[1]Informacion '!P:Q,2,FALSE),"")</f>
        <v>Unidad</v>
      </c>
      <c r="D1182" s="42">
        <v>3</v>
      </c>
      <c r="E1182" s="45">
        <v>2700</v>
      </c>
      <c r="F1182" s="46">
        <f t="shared" ca="1" si="8"/>
        <v>8100</v>
      </c>
    </row>
    <row r="1183" spans="1:6" ht="33.75">
      <c r="A1183" s="42" t="s">
        <v>148</v>
      </c>
      <c r="B1183" s="43" t="str">
        <f t="shared" ca="1" si="9"/>
        <v>Tóner para impresoras o fax</v>
      </c>
      <c r="C1183" s="44" t="str">
        <f>IFERROR(VLOOKUP("UD",'[1]Informacion '!P:Q,2,FALSE),"")</f>
        <v>Unidad</v>
      </c>
      <c r="D1183" s="42">
        <v>1</v>
      </c>
      <c r="E1183" s="45">
        <v>13000</v>
      </c>
      <c r="F1183" s="46">
        <f t="shared" ca="1" si="8"/>
        <v>13000</v>
      </c>
    </row>
    <row r="1184" spans="1:6" ht="33.75">
      <c r="A1184" s="42" t="s">
        <v>148</v>
      </c>
      <c r="B1184" s="43" t="str">
        <f t="shared" ca="1" si="9"/>
        <v>Tóner para impresoras o fax</v>
      </c>
      <c r="C1184" s="44" t="str">
        <f>IFERROR(VLOOKUP("UD",'[1]Informacion '!P:Q,2,FALSE),"")</f>
        <v>Unidad</v>
      </c>
      <c r="D1184" s="42">
        <v>1</v>
      </c>
      <c r="E1184" s="45">
        <v>14000</v>
      </c>
      <c r="F1184" s="46">
        <f t="shared" ca="1" si="8"/>
        <v>14000</v>
      </c>
    </row>
    <row r="1185" spans="1:6" ht="33.75">
      <c r="A1185" s="42" t="s">
        <v>148</v>
      </c>
      <c r="B1185" s="43" t="str">
        <f t="shared" ca="1" si="9"/>
        <v>Tóner para impresoras o fax</v>
      </c>
      <c r="C1185" s="44" t="str">
        <f>IFERROR(VLOOKUP("UD",'[1]Informacion '!P:Q,2,FALSE),"")</f>
        <v>Unidad</v>
      </c>
      <c r="D1185" s="42">
        <v>1</v>
      </c>
      <c r="E1185" s="45">
        <v>14000</v>
      </c>
      <c r="F1185" s="46">
        <f t="shared" ca="1" si="8"/>
        <v>14000</v>
      </c>
    </row>
    <row r="1186" spans="1:6" ht="33.75">
      <c r="A1186" s="42" t="s">
        <v>148</v>
      </c>
      <c r="B1186" s="43" t="str">
        <f t="shared" ca="1" si="9"/>
        <v>Tóner para impresoras o fax</v>
      </c>
      <c r="C1186" s="44" t="str">
        <f>IFERROR(VLOOKUP("UD",'[1]Informacion '!P:Q,2,FALSE),"")</f>
        <v>Unidad</v>
      </c>
      <c r="D1186" s="42">
        <v>1</v>
      </c>
      <c r="E1186" s="45">
        <v>4000</v>
      </c>
      <c r="F1186" s="46">
        <f t="shared" ca="1" si="8"/>
        <v>4000</v>
      </c>
    </row>
    <row r="1187" spans="1:6" ht="33.75">
      <c r="A1187" s="42" t="s">
        <v>148</v>
      </c>
      <c r="B1187" s="43" t="str">
        <f t="shared" ca="1" si="9"/>
        <v>Tóner para impresoras o fax</v>
      </c>
      <c r="C1187" s="44" t="str">
        <f>IFERROR(VLOOKUP("UD",'[1]Informacion '!P:Q,2,FALSE),"")</f>
        <v>Unidad</v>
      </c>
      <c r="D1187" s="42">
        <v>1</v>
      </c>
      <c r="E1187" s="45">
        <v>4300</v>
      </c>
      <c r="F1187" s="46">
        <f t="shared" ca="1" si="8"/>
        <v>4300</v>
      </c>
    </row>
    <row r="1188" spans="1:6" ht="33.75">
      <c r="A1188" s="42" t="s">
        <v>148</v>
      </c>
      <c r="B1188" s="43" t="str">
        <f t="shared" ca="1" si="9"/>
        <v>Tóner para impresoras o fax</v>
      </c>
      <c r="C1188" s="44" t="str">
        <f>IFERROR(VLOOKUP("UD",'[1]Informacion '!P:Q,2,FALSE),"")</f>
        <v>Unidad</v>
      </c>
      <c r="D1188" s="42">
        <v>1</v>
      </c>
      <c r="E1188" s="45">
        <v>5000</v>
      </c>
      <c r="F1188" s="46">
        <f t="shared" ca="1" si="8"/>
        <v>5000</v>
      </c>
    </row>
    <row r="1189" spans="1:6" ht="33.75">
      <c r="A1189" s="42" t="s">
        <v>148</v>
      </c>
      <c r="B1189" s="43" t="str">
        <f t="shared" ca="1" si="9"/>
        <v>Tóner para impresoras o fax</v>
      </c>
      <c r="C1189" s="44" t="str">
        <f>IFERROR(VLOOKUP("UD",'[1]Informacion '!P:Q,2,FALSE),"")</f>
        <v>Unidad</v>
      </c>
      <c r="D1189" s="42">
        <v>2</v>
      </c>
      <c r="E1189" s="45">
        <v>3000</v>
      </c>
      <c r="F1189" s="46">
        <f t="shared" ca="1" si="8"/>
        <v>6000</v>
      </c>
    </row>
    <row r="1190" spans="1:6" ht="33.75">
      <c r="A1190" s="42" t="s">
        <v>148</v>
      </c>
      <c r="B1190" s="43" t="str">
        <f t="shared" ca="1" si="9"/>
        <v>Tóner para impresoras o fax</v>
      </c>
      <c r="C1190" s="44" t="str">
        <f>IFERROR(VLOOKUP("UD",'[1]Informacion '!P:Q,2,FALSE),"")</f>
        <v>Unidad</v>
      </c>
      <c r="D1190" s="42">
        <v>1</v>
      </c>
      <c r="E1190" s="45">
        <v>5400</v>
      </c>
      <c r="F1190" s="46">
        <f t="shared" ca="1" si="8"/>
        <v>5400</v>
      </c>
    </row>
    <row r="1191" spans="1:6" ht="33.75">
      <c r="A1191" s="42" t="s">
        <v>148</v>
      </c>
      <c r="B1191" s="43" t="str">
        <f t="shared" ca="1" si="9"/>
        <v>Tóner para impresoras o fax</v>
      </c>
      <c r="C1191" s="44" t="str">
        <f>IFERROR(VLOOKUP("UD",'[1]Informacion '!P:Q,2,FALSE),"")</f>
        <v>Unidad</v>
      </c>
      <c r="D1191" s="42">
        <v>2</v>
      </c>
      <c r="E1191" s="45">
        <v>7000</v>
      </c>
      <c r="F1191" s="46">
        <f t="shared" ca="1" si="8"/>
        <v>14000</v>
      </c>
    </row>
    <row r="1192" spans="1:6" ht="33.75">
      <c r="A1192" s="42" t="s">
        <v>148</v>
      </c>
      <c r="B1192" s="43" t="str">
        <f t="shared" ca="1" si="9"/>
        <v>Tóner para impresoras o fax</v>
      </c>
      <c r="C1192" s="44" t="str">
        <f>IFERROR(VLOOKUP("UD",'[1]Informacion '!P:Q,2,FALSE),"")</f>
        <v>Unidad</v>
      </c>
      <c r="D1192" s="42">
        <v>1</v>
      </c>
      <c r="E1192" s="45">
        <v>2000</v>
      </c>
      <c r="F1192" s="46">
        <f t="shared" ca="1" si="8"/>
        <v>2000</v>
      </c>
    </row>
    <row r="1193" spans="1:6" ht="33.75">
      <c r="A1193" s="42" t="s">
        <v>148</v>
      </c>
      <c r="B1193" s="43" t="str">
        <f t="shared" ca="1" si="9"/>
        <v>Tóner para impresoras o fax</v>
      </c>
      <c r="C1193" s="44" t="str">
        <f>IFERROR(VLOOKUP("UD",'[1]Informacion '!P:Q,2,FALSE),"")</f>
        <v>Unidad</v>
      </c>
      <c r="D1193" s="42">
        <v>2</v>
      </c>
      <c r="E1193" s="45">
        <v>2000</v>
      </c>
      <c r="F1193" s="46">
        <f t="shared" ca="1" si="8"/>
        <v>4000</v>
      </c>
    </row>
    <row r="1194" spans="1:6" ht="33.75">
      <c r="A1194" s="42" t="s">
        <v>148</v>
      </c>
      <c r="B1194" s="43" t="str">
        <f t="shared" ca="1" si="9"/>
        <v>Tóner para impresoras o fax</v>
      </c>
      <c r="C1194" s="44" t="str">
        <f>IFERROR(VLOOKUP("UD",'[1]Informacion '!P:Q,2,FALSE),"")</f>
        <v>Unidad</v>
      </c>
      <c r="D1194" s="42">
        <v>1</v>
      </c>
      <c r="E1194" s="45">
        <v>11056</v>
      </c>
      <c r="F1194" s="46">
        <f t="shared" ca="1" si="8"/>
        <v>11056</v>
      </c>
    </row>
    <row r="1195" spans="1:6" ht="16.5">
      <c r="A1195" s="36"/>
      <c r="B1195" s="36"/>
      <c r="C1195" s="36"/>
      <c r="D1195" s="36"/>
      <c r="E1195" s="47" t="s">
        <v>50</v>
      </c>
      <c r="F1195" s="48">
        <f ca="1">SUM(Table99[MONTO TOTAL ESTIMADO])</f>
        <v>106856</v>
      </c>
    </row>
    <row r="1196" spans="1:6" ht="17.25" thickBot="1">
      <c r="A1196" s="36"/>
      <c r="B1196" s="36"/>
      <c r="C1196" s="36"/>
      <c r="D1196" s="36"/>
      <c r="E1196" s="36"/>
      <c r="F1196" s="36"/>
    </row>
    <row r="1197" spans="1:6" ht="34.5" thickBot="1">
      <c r="A1197" s="1" t="s">
        <v>0</v>
      </c>
      <c r="B1197" s="1" t="s">
        <v>1</v>
      </c>
      <c r="C1197" s="1" t="s">
        <v>2</v>
      </c>
      <c r="D1197" s="1" t="s">
        <v>3</v>
      </c>
      <c r="E1197" s="1" t="s">
        <v>4</v>
      </c>
      <c r="F1197" s="1" t="s">
        <v>5</v>
      </c>
    </row>
    <row r="1198" spans="1:6" ht="15.75" thickBot="1">
      <c r="A1198" s="2" t="s">
        <v>246</v>
      </c>
      <c r="B1198" s="2" t="s">
        <v>247</v>
      </c>
      <c r="C1198" s="2" t="s">
        <v>40</v>
      </c>
      <c r="D1198" s="2" t="s">
        <v>62</v>
      </c>
      <c r="E1198" s="2" t="s">
        <v>63</v>
      </c>
      <c r="F1198" s="2"/>
    </row>
    <row r="1199" spans="1:6" ht="15.75" thickBot="1">
      <c r="A1199" s="3" t="s">
        <v>11</v>
      </c>
      <c r="B1199" s="4" t="s">
        <v>12</v>
      </c>
      <c r="C1199" s="37">
        <v>43347</v>
      </c>
      <c r="D1199" s="3" t="s">
        <v>13</v>
      </c>
      <c r="E1199" s="38" t="s">
        <v>14</v>
      </c>
      <c r="F1199" s="39"/>
    </row>
    <row r="1200" spans="1:6" ht="15.75" thickBot="1">
      <c r="A1200" s="6"/>
      <c r="B1200" s="4" t="s">
        <v>15</v>
      </c>
      <c r="C1200" s="40">
        <f>IF(C1199="","",IF(AND(MONTH(C1199)&gt;=1,MONTH(C1199)&lt;=3),1,IF(AND(MONTH(C1199)&gt;=4,MONTH(C1199)&lt;=6),2,IF(AND(MONTH(C1199)&gt;=7,MONTH(C1199)&lt;=9),3,4))))</f>
        <v>3</v>
      </c>
      <c r="D1200" s="6"/>
      <c r="E1200" s="38" t="s">
        <v>16</v>
      </c>
      <c r="F1200" s="39"/>
    </row>
    <row r="1201" spans="1:6" ht="15.75" thickBot="1">
      <c r="A1201" s="6"/>
      <c r="B1201" s="4" t="s">
        <v>17</v>
      </c>
      <c r="C1201" s="37">
        <v>43348</v>
      </c>
      <c r="D1201" s="6"/>
      <c r="E1201" s="38" t="s">
        <v>18</v>
      </c>
      <c r="F1201" s="39"/>
    </row>
    <row r="1202" spans="1:6" ht="15.75" thickBot="1">
      <c r="A1202" s="6"/>
      <c r="B1202" s="4" t="s">
        <v>15</v>
      </c>
      <c r="C1202" s="40">
        <f>IF(C1201="","",IF(AND(MONTH(C1201)&gt;=1,MONTH(C1201)&lt;=3),1,IF(AND(MONTH(C1201)&gt;=4,MONTH(C1201)&lt;=6),2,IF(AND(MONTH(C1201)&gt;=7,MONTH(C1201)&lt;=9),3,4))))</f>
        <v>3</v>
      </c>
      <c r="D1202" s="6"/>
      <c r="E1202" s="38" t="s">
        <v>19</v>
      </c>
      <c r="F1202" s="39"/>
    </row>
    <row r="1203" spans="1:6" ht="17.25" thickBot="1">
      <c r="A1203" s="36"/>
      <c r="B1203" s="36"/>
      <c r="C1203" s="36"/>
      <c r="D1203" s="36"/>
      <c r="E1203" s="36"/>
      <c r="F1203" s="36"/>
    </row>
    <row r="1204" spans="1:6" ht="15.75" thickBot="1">
      <c r="A1204" s="41" t="s">
        <v>43</v>
      </c>
      <c r="B1204" s="41" t="s">
        <v>44</v>
      </c>
      <c r="C1204" s="41" t="s">
        <v>45</v>
      </c>
      <c r="D1204" s="41" t="s">
        <v>46</v>
      </c>
      <c r="E1204" s="41" t="s">
        <v>47</v>
      </c>
      <c r="F1204" s="41" t="s">
        <v>48</v>
      </c>
    </row>
    <row r="1205" spans="1:6">
      <c r="A1205" s="42" t="s">
        <v>64</v>
      </c>
      <c r="B1205" s="43" t="str">
        <f ca="1">IFERROR(INDEX(UNSPSCDes,MATCH(INDIRECT(ADDRESS(ROW(),COLUMN()-1,4)),UNSPSCCode,0)),IF(INDIRECT(ADDRESS(ROW(),COLUMN()-1,4))="47131604","Escobas",""))</f>
        <v>Escobas</v>
      </c>
      <c r="C1205" s="44" t="str">
        <f>IFERROR(VLOOKUP("UD",'[1]Informacion '!P:Q,2,FALSE),"")</f>
        <v>Unidad</v>
      </c>
      <c r="D1205" s="42">
        <v>3</v>
      </c>
      <c r="E1205" s="45">
        <v>112</v>
      </c>
      <c r="F1205" s="46">
        <f t="shared" ref="F1205:F1211" ca="1" si="10">INDIRECT(ADDRESS(ROW(),COLUMN()-2,4))*INDIRECT(ADDRESS(ROW(),COLUMN()-1,4))</f>
        <v>336</v>
      </c>
    </row>
    <row r="1206" spans="1:6" ht="33.75">
      <c r="A1206" s="42" t="s">
        <v>248</v>
      </c>
      <c r="B1206" s="43" t="str">
        <f ca="1">IFERROR(INDEX(UNSPSCDes,MATCH(INDIRECT(ADDRESS(ROW(),COLUMN()-1,4)),UNSPSCCode,0)),IF(INDIRECT(ADDRESS(ROW(),COLUMN()-1,4))="47131803","Desinfectantes para uso doméstico",""))</f>
        <v>Desinfectantes para uso doméstico</v>
      </c>
      <c r="C1206" s="44" t="str">
        <f>IFERROR(VLOOKUP("UD",'[1]Informacion '!P:Q,2,FALSE),"")</f>
        <v>Unidad</v>
      </c>
      <c r="D1206" s="42">
        <v>80</v>
      </c>
      <c r="E1206" s="45">
        <v>225</v>
      </c>
      <c r="F1206" s="46">
        <f t="shared" ca="1" si="10"/>
        <v>18000</v>
      </c>
    </row>
    <row r="1207" spans="1:6" ht="33.75">
      <c r="A1207" s="42" t="s">
        <v>248</v>
      </c>
      <c r="B1207" s="43" t="str">
        <f ca="1">IFERROR(INDEX(UNSPSCDes,MATCH(INDIRECT(ADDRESS(ROW(),COLUMN()-1,4)),UNSPSCCode,0)),IF(INDIRECT(ADDRESS(ROW(),COLUMN()-1,4))="47131803","Desinfectantes para uso doméstico",""))</f>
        <v>Desinfectantes para uso doméstico</v>
      </c>
      <c r="C1207" s="44" t="str">
        <f>IFERROR(VLOOKUP("UD",'[1]Informacion '!P:Q,2,FALSE),"")</f>
        <v>Unidad</v>
      </c>
      <c r="D1207" s="42">
        <v>3</v>
      </c>
      <c r="E1207" s="45">
        <v>250</v>
      </c>
      <c r="F1207" s="46">
        <f t="shared" ca="1" si="10"/>
        <v>750</v>
      </c>
    </row>
    <row r="1208" spans="1:6" ht="33.75">
      <c r="A1208" s="42" t="s">
        <v>248</v>
      </c>
      <c r="B1208" s="43" t="str">
        <f ca="1">IFERROR(INDEX(UNSPSCDes,MATCH(INDIRECT(ADDRESS(ROW(),COLUMN()-1,4)),UNSPSCCode,0)),IF(INDIRECT(ADDRESS(ROW(),COLUMN()-1,4))="47131803","Desinfectantes para uso doméstico",""))</f>
        <v>Desinfectantes para uso doméstico</v>
      </c>
      <c r="C1208" s="44" t="str">
        <f>IFERROR(VLOOKUP("UD",'[1]Informacion '!P:Q,2,FALSE),"")</f>
        <v>Unidad</v>
      </c>
      <c r="D1208" s="42">
        <v>1</v>
      </c>
      <c r="E1208" s="45">
        <v>700</v>
      </c>
      <c r="F1208" s="46">
        <f t="shared" ca="1" si="10"/>
        <v>700</v>
      </c>
    </row>
    <row r="1209" spans="1:6">
      <c r="A1209" s="42" t="s">
        <v>64</v>
      </c>
      <c r="B1209" s="43" t="str">
        <f ca="1">IFERROR(INDEX(UNSPSCDes,MATCH(INDIRECT(ADDRESS(ROW(),COLUMN()-1,4)),UNSPSCCode,0)),IF(INDIRECT(ADDRESS(ROW(),COLUMN()-1,4))="47131604","Escobas",""))</f>
        <v>Escobas</v>
      </c>
      <c r="C1209" s="44" t="str">
        <f>IFERROR(VLOOKUP("UD",'[1]Informacion '!P:Q,2,FALSE),"")</f>
        <v>Unidad</v>
      </c>
      <c r="D1209" s="42">
        <v>10</v>
      </c>
      <c r="E1209" s="45">
        <v>180</v>
      </c>
      <c r="F1209" s="46">
        <f t="shared" ca="1" si="10"/>
        <v>1800</v>
      </c>
    </row>
    <row r="1210" spans="1:6" ht="33.75">
      <c r="A1210" s="42" t="s">
        <v>248</v>
      </c>
      <c r="B1210" s="43" t="str">
        <f ca="1">IFERROR(INDEX(UNSPSCDes,MATCH(INDIRECT(ADDRESS(ROW(),COLUMN()-1,4)),UNSPSCCode,0)),IF(INDIRECT(ADDRESS(ROW(),COLUMN()-1,4))="47131803","Desinfectantes para uso doméstico",""))</f>
        <v>Desinfectantes para uso doméstico</v>
      </c>
      <c r="C1210" s="44" t="str">
        <f>IFERROR(VLOOKUP("UD",'[1]Informacion '!P:Q,2,FALSE),"")</f>
        <v>Unidad</v>
      </c>
      <c r="D1210" s="42">
        <v>25</v>
      </c>
      <c r="E1210" s="45">
        <v>100</v>
      </c>
      <c r="F1210" s="46">
        <f t="shared" ca="1" si="10"/>
        <v>2500</v>
      </c>
    </row>
    <row r="1211" spans="1:6" ht="45">
      <c r="A1211" s="42" t="s">
        <v>249</v>
      </c>
      <c r="B1211" s="43" t="str">
        <f ca="1">IFERROR(INDEX(UNSPSCDes,MATCH(INDIRECT(ADDRESS(ROW(),COLUMN()-1,4)),UNSPSCCode,0)),IF(INDIRECT(ADDRESS(ROW(),COLUMN()-1,4))="52121605","Guantes de horno o coge ollas para uso doméstico",""))</f>
        <v>Guantes de horno o coge ollas para uso doméstico</v>
      </c>
      <c r="C1211" s="44" t="str">
        <f>IFERROR(VLOOKUP("UD",'[1]Informacion '!P:Q,2,FALSE),"")</f>
        <v>Unidad</v>
      </c>
      <c r="D1211" s="42">
        <v>20</v>
      </c>
      <c r="E1211" s="45">
        <v>53</v>
      </c>
      <c r="F1211" s="46">
        <f t="shared" ca="1" si="10"/>
        <v>1060</v>
      </c>
    </row>
    <row r="1212" spans="1:6" ht="16.5">
      <c r="A1212" s="36"/>
      <c r="B1212" s="36"/>
      <c r="C1212" s="36"/>
      <c r="D1212" s="36"/>
      <c r="E1212" s="47" t="s">
        <v>50</v>
      </c>
      <c r="F1212" s="48">
        <f ca="1">SUM(Table100[MONTO TOTAL ESTIMADO])</f>
        <v>25146</v>
      </c>
    </row>
    <row r="1213" spans="1:6" ht="17.25" thickBot="1">
      <c r="A1213" s="36"/>
      <c r="B1213" s="36"/>
      <c r="C1213" s="36"/>
      <c r="D1213" s="36"/>
      <c r="E1213" s="36"/>
      <c r="F1213" s="36"/>
    </row>
    <row r="1214" spans="1:6" ht="34.5" thickBot="1">
      <c r="A1214" s="1" t="s">
        <v>0</v>
      </c>
      <c r="B1214" s="1" t="s">
        <v>1</v>
      </c>
      <c r="C1214" s="1" t="s">
        <v>2</v>
      </c>
      <c r="D1214" s="1" t="s">
        <v>3</v>
      </c>
      <c r="E1214" s="1" t="s">
        <v>4</v>
      </c>
      <c r="F1214" s="1" t="s">
        <v>5</v>
      </c>
    </row>
    <row r="1215" spans="1:6" ht="15.75" thickBot="1">
      <c r="A1215" s="2" t="s">
        <v>250</v>
      </c>
      <c r="B1215" s="2" t="s">
        <v>251</v>
      </c>
      <c r="C1215" s="2" t="s">
        <v>40</v>
      </c>
      <c r="D1215" s="2" t="s">
        <v>41</v>
      </c>
      <c r="E1215" s="2" t="s">
        <v>42</v>
      </c>
      <c r="F1215" s="2"/>
    </row>
    <row r="1216" spans="1:6" ht="15.75" thickBot="1">
      <c r="A1216" s="3" t="s">
        <v>11</v>
      </c>
      <c r="B1216" s="4" t="s">
        <v>12</v>
      </c>
      <c r="C1216" s="5">
        <v>43103</v>
      </c>
      <c r="D1216" s="3" t="s">
        <v>13</v>
      </c>
      <c r="E1216" s="4" t="s">
        <v>14</v>
      </c>
      <c r="F1216" s="2"/>
    </row>
    <row r="1217" spans="1:6" ht="15.75" thickBot="1">
      <c r="A1217" s="6"/>
      <c r="B1217" s="4" t="s">
        <v>15</v>
      </c>
      <c r="C1217" s="7">
        <f>IF(C1216="","",IF(AND(MONTH(C1216)&gt;=1,MONTH(C1216)&lt;=3),1,IF(AND(MONTH(C1216)&gt;=4,MONTH(C1216)&lt;=6),2,IF(AND(MONTH(C1216)&gt;=7,MONTH(C1216)&lt;=9),3,4))))</f>
        <v>1</v>
      </c>
      <c r="D1217" s="6"/>
      <c r="E1217" s="4" t="s">
        <v>16</v>
      </c>
      <c r="F1217" s="2"/>
    </row>
    <row r="1218" spans="1:6" ht="15.75" thickBot="1">
      <c r="A1218" s="6"/>
      <c r="B1218" s="4" t="s">
        <v>17</v>
      </c>
      <c r="C1218" s="5">
        <v>43104</v>
      </c>
      <c r="D1218" s="6"/>
      <c r="E1218" s="4" t="s">
        <v>18</v>
      </c>
      <c r="F1218" s="2"/>
    </row>
    <row r="1219" spans="1:6" ht="15.75" thickBot="1">
      <c r="A1219" s="6"/>
      <c r="B1219" s="4" t="s">
        <v>15</v>
      </c>
      <c r="C1219" s="7">
        <f>IF(C1218="","",IF(AND(MONTH(C1218)&gt;=1,MONTH(C1218)&lt;=3),1,IF(AND(MONTH(C1218)&gt;=4,MONTH(C1218)&lt;=6),2,IF(AND(MONTH(C1218)&gt;=7,MONTH(C1218)&lt;=9),3,4))))</f>
        <v>1</v>
      </c>
      <c r="D1219" s="6"/>
      <c r="E1219" s="4" t="s">
        <v>19</v>
      </c>
      <c r="F1219" s="2"/>
    </row>
    <row r="1220" spans="1:6" ht="15.75" thickBot="1">
      <c r="A1220" s="50"/>
      <c r="B1220" s="50"/>
      <c r="C1220" s="50"/>
      <c r="D1220" s="50"/>
      <c r="E1220" s="50"/>
      <c r="F1220" s="50"/>
    </row>
    <row r="1221" spans="1:6" ht="15.75" thickBot="1">
      <c r="A1221" s="41" t="s">
        <v>43</v>
      </c>
      <c r="B1221" s="41" t="s">
        <v>44</v>
      </c>
      <c r="C1221" s="41" t="s">
        <v>45</v>
      </c>
      <c r="D1221" s="41" t="s">
        <v>46</v>
      </c>
      <c r="E1221" s="41" t="s">
        <v>47</v>
      </c>
      <c r="F1221" s="41" t="s">
        <v>48</v>
      </c>
    </row>
    <row r="1222" spans="1:6">
      <c r="A1222" s="42">
        <v>15101506</v>
      </c>
      <c r="B1222" s="43" t="str">
        <f ca="1">IFERROR(INDEX(UNSPSCDes,MATCH(INDIRECT(ADDRESS(ROW(),COLUMN()-1,4)),UNSPSCCode,0)),"")</f>
        <v>Gasolina</v>
      </c>
      <c r="C1222" s="42" t="s">
        <v>252</v>
      </c>
      <c r="D1222" s="42">
        <v>25</v>
      </c>
      <c r="E1222" s="45">
        <v>1000</v>
      </c>
      <c r="F1222" s="46">
        <f ca="1">INDIRECT(ADDRESS(ROW(),COLUMN()-2,4))*INDIRECT(ADDRESS(ROW(),COLUMN()-1,4))</f>
        <v>25000</v>
      </c>
    </row>
    <row r="1223" spans="1:6">
      <c r="A1223" s="42">
        <v>15101506</v>
      </c>
      <c r="B1223" s="43" t="str">
        <f ca="1">IFERROR(INDEX(UNSPSCDes,MATCH(INDIRECT(ADDRESS(ROW(),COLUMN()-1,4)),UNSPSCCode,0)),"")</f>
        <v>Gasolina</v>
      </c>
      <c r="C1223" s="42" t="s">
        <v>252</v>
      </c>
      <c r="D1223" s="42">
        <v>200</v>
      </c>
      <c r="E1223" s="45">
        <v>500</v>
      </c>
      <c r="F1223" s="46">
        <f ca="1">INDIRECT(ADDRESS(ROW(),COLUMN()-2,4))*INDIRECT(ADDRESS(ROW(),COLUMN()-1,4))</f>
        <v>100000</v>
      </c>
    </row>
    <row r="1224" spans="1:6">
      <c r="A1224" s="42">
        <v>15101506</v>
      </c>
      <c r="B1224" s="43" t="str">
        <f ca="1">IFERROR(INDEX(UNSPSCDes,MATCH(INDIRECT(ADDRESS(ROW(),COLUMN()-1,4)),UNSPSCCode,0)),"")</f>
        <v>Gasolina</v>
      </c>
      <c r="C1224" s="42" t="s">
        <v>252</v>
      </c>
      <c r="D1224" s="42">
        <v>250</v>
      </c>
      <c r="E1224" s="45">
        <v>200</v>
      </c>
      <c r="F1224" s="46">
        <f ca="1">INDIRECT(ADDRESS(ROW(),COLUMN()-2,4))*INDIRECT(ADDRESS(ROW(),COLUMN()-1,4))</f>
        <v>50000</v>
      </c>
    </row>
    <row r="1225" spans="1:6">
      <c r="A1225" s="42">
        <v>15101506</v>
      </c>
      <c r="B1225" s="43" t="str">
        <f ca="1">IFERROR(INDEX(UNSPSCDes,MATCH(INDIRECT(ADDRESS(ROW(),COLUMN()-1,4)),UNSPSCCode,0)),"")</f>
        <v>Gasolina</v>
      </c>
      <c r="C1225" s="42" t="s">
        <v>252</v>
      </c>
      <c r="D1225" s="42">
        <v>150</v>
      </c>
      <c r="E1225" s="45">
        <v>100</v>
      </c>
      <c r="F1225" s="46">
        <f ca="1">INDIRECT(ADDRESS(ROW(),COLUMN()-2,4))*INDIRECT(ADDRESS(ROW(),COLUMN()-1,4))</f>
        <v>15000</v>
      </c>
    </row>
    <row r="1226" spans="1:6">
      <c r="A1226" s="50"/>
      <c r="B1226" s="50"/>
      <c r="C1226" s="50"/>
      <c r="D1226" s="50"/>
      <c r="E1226" s="51" t="s">
        <v>50</v>
      </c>
      <c r="F1226" s="48">
        <f ca="1">SUM(Table310[MONTO TOTAL ESTIMADO])</f>
        <v>190000</v>
      </c>
    </row>
    <row r="1227" spans="1:6" ht="17.25" thickBot="1">
      <c r="A1227" s="36"/>
      <c r="B1227" s="36"/>
      <c r="C1227" s="36"/>
      <c r="D1227" s="36"/>
      <c r="E1227" s="36"/>
      <c r="F1227" s="36"/>
    </row>
    <row r="1228" spans="1:6" ht="34.5" thickBot="1">
      <c r="A1228" s="1" t="s">
        <v>0</v>
      </c>
      <c r="B1228" s="1" t="s">
        <v>1</v>
      </c>
      <c r="C1228" s="1" t="s">
        <v>2</v>
      </c>
      <c r="D1228" s="1" t="s">
        <v>3</v>
      </c>
      <c r="E1228" s="1" t="s">
        <v>4</v>
      </c>
      <c r="F1228" s="1" t="s">
        <v>5</v>
      </c>
    </row>
    <row r="1229" spans="1:6" ht="15.75" thickBot="1">
      <c r="A1229" s="2" t="s">
        <v>250</v>
      </c>
      <c r="B1229" s="2" t="s">
        <v>253</v>
      </c>
      <c r="C1229" s="2" t="s">
        <v>40</v>
      </c>
      <c r="D1229" s="2" t="s">
        <v>41</v>
      </c>
      <c r="E1229" s="2" t="s">
        <v>42</v>
      </c>
      <c r="F1229" s="2"/>
    </row>
    <row r="1230" spans="1:6" ht="15.75" thickBot="1">
      <c r="A1230" s="3" t="s">
        <v>11</v>
      </c>
      <c r="B1230" s="4" t="s">
        <v>12</v>
      </c>
      <c r="C1230" s="5">
        <v>43134</v>
      </c>
      <c r="D1230" s="3" t="s">
        <v>13</v>
      </c>
      <c r="E1230" s="4" t="s">
        <v>14</v>
      </c>
      <c r="F1230" s="2"/>
    </row>
    <row r="1231" spans="1:6" ht="15.75" thickBot="1">
      <c r="A1231" s="6"/>
      <c r="B1231" s="4" t="s">
        <v>15</v>
      </c>
      <c r="C1231" s="7">
        <f>IF(C1230="","",IF(AND(MONTH(C1230)&gt;=1,MONTH(C1230)&lt;=3),1,IF(AND(MONTH(C1230)&gt;=4,MONTH(C1230)&lt;=6),2,IF(AND(MONTH(C1230)&gt;=7,MONTH(C1230)&lt;=9),3,4))))</f>
        <v>1</v>
      </c>
      <c r="D1231" s="6"/>
      <c r="E1231" s="4" t="s">
        <v>16</v>
      </c>
      <c r="F1231" s="2"/>
    </row>
    <row r="1232" spans="1:6" ht="15.75" thickBot="1">
      <c r="A1232" s="6"/>
      <c r="B1232" s="4" t="s">
        <v>17</v>
      </c>
      <c r="C1232" s="5">
        <v>43135</v>
      </c>
      <c r="D1232" s="6"/>
      <c r="E1232" s="4" t="s">
        <v>18</v>
      </c>
      <c r="F1232" s="2"/>
    </row>
    <row r="1233" spans="1:6" ht="15.75" thickBot="1">
      <c r="A1233" s="6"/>
      <c r="B1233" s="4" t="s">
        <v>15</v>
      </c>
      <c r="C1233" s="7">
        <f>IF(C1232="","",IF(AND(MONTH(C1232)&gt;=1,MONTH(C1232)&lt;=3),1,IF(AND(MONTH(C1232)&gt;=4,MONTH(C1232)&lt;=6),2,IF(AND(MONTH(C1232)&gt;=7,MONTH(C1232)&lt;=9),3,4))))</f>
        <v>1</v>
      </c>
      <c r="D1233" s="6"/>
      <c r="E1233" s="4" t="s">
        <v>19</v>
      </c>
      <c r="F1233" s="2"/>
    </row>
    <row r="1234" spans="1:6" ht="15.75" thickBot="1">
      <c r="A1234" s="50"/>
      <c r="B1234" s="50"/>
      <c r="C1234" s="50"/>
      <c r="D1234" s="50"/>
      <c r="E1234" s="50"/>
      <c r="F1234" s="50"/>
    </row>
    <row r="1235" spans="1:6" ht="15.75" thickBot="1">
      <c r="A1235" s="41" t="s">
        <v>43</v>
      </c>
      <c r="B1235" s="41" t="s">
        <v>44</v>
      </c>
      <c r="C1235" s="41" t="s">
        <v>45</v>
      </c>
      <c r="D1235" s="41" t="s">
        <v>46</v>
      </c>
      <c r="E1235" s="41" t="s">
        <v>47</v>
      </c>
      <c r="F1235" s="41" t="s">
        <v>48</v>
      </c>
    </row>
    <row r="1236" spans="1:6">
      <c r="A1236" s="42">
        <v>15101506</v>
      </c>
      <c r="B1236" s="43" t="str">
        <f ca="1">IFERROR(INDEX(UNSPSCDes,MATCH(INDIRECT(ADDRESS(ROW(),COLUMN()-1,4)),UNSPSCCode,0)),"")</f>
        <v>Gasolina</v>
      </c>
      <c r="C1236" s="42" t="s">
        <v>252</v>
      </c>
      <c r="D1236" s="42">
        <v>25</v>
      </c>
      <c r="E1236" s="45">
        <v>1000</v>
      </c>
      <c r="F1236" s="46">
        <f ca="1">INDIRECT(ADDRESS(ROW(),COLUMN()-2,4))*INDIRECT(ADDRESS(ROW(),COLUMN()-1,4))</f>
        <v>25000</v>
      </c>
    </row>
    <row r="1237" spans="1:6">
      <c r="A1237" s="42">
        <v>15101506</v>
      </c>
      <c r="B1237" s="43" t="str">
        <f ca="1">IFERROR(INDEX(UNSPSCDes,MATCH(INDIRECT(ADDRESS(ROW(),COLUMN()-1,4)),UNSPSCCode,0)),"")</f>
        <v>Gasolina</v>
      </c>
      <c r="C1237" s="42" t="s">
        <v>252</v>
      </c>
      <c r="D1237" s="42">
        <v>200</v>
      </c>
      <c r="E1237" s="45">
        <v>500</v>
      </c>
      <c r="F1237" s="46">
        <f ca="1">INDIRECT(ADDRESS(ROW(),COLUMN()-2,4))*INDIRECT(ADDRESS(ROW(),COLUMN()-1,4))</f>
        <v>100000</v>
      </c>
    </row>
    <row r="1238" spans="1:6">
      <c r="A1238" s="42">
        <v>15101506</v>
      </c>
      <c r="B1238" s="43" t="str">
        <f ca="1">IFERROR(INDEX(UNSPSCDes,MATCH(INDIRECT(ADDRESS(ROW(),COLUMN()-1,4)),UNSPSCCode,0)),"")</f>
        <v>Gasolina</v>
      </c>
      <c r="C1238" s="42" t="s">
        <v>252</v>
      </c>
      <c r="D1238" s="42">
        <v>250</v>
      </c>
      <c r="E1238" s="45">
        <v>200</v>
      </c>
      <c r="F1238" s="46">
        <f ca="1">INDIRECT(ADDRESS(ROW(),COLUMN()-2,4))*INDIRECT(ADDRESS(ROW(),COLUMN()-1,4))</f>
        <v>50000</v>
      </c>
    </row>
    <row r="1239" spans="1:6">
      <c r="A1239" s="42">
        <v>15101506</v>
      </c>
      <c r="B1239" s="43" t="str">
        <f ca="1">IFERROR(INDEX(UNSPSCDes,MATCH(INDIRECT(ADDRESS(ROW(),COLUMN()-1,4)),UNSPSCCode,0)),"")</f>
        <v>Gasolina</v>
      </c>
      <c r="C1239" s="42" t="s">
        <v>252</v>
      </c>
      <c r="D1239" s="42">
        <v>150</v>
      </c>
      <c r="E1239" s="45">
        <v>100</v>
      </c>
      <c r="F1239" s="46">
        <f ca="1">INDIRECT(ADDRESS(ROW(),COLUMN()-2,4))*INDIRECT(ADDRESS(ROW(),COLUMN()-1,4))</f>
        <v>15000</v>
      </c>
    </row>
    <row r="1240" spans="1:6">
      <c r="A1240" s="50"/>
      <c r="B1240" s="50"/>
      <c r="C1240" s="50"/>
      <c r="D1240" s="50"/>
      <c r="E1240" s="51" t="s">
        <v>50</v>
      </c>
      <c r="F1240" s="48">
        <f ca="1">SUM(Table311[MONTO TOTAL ESTIMADO])</f>
        <v>190000</v>
      </c>
    </row>
    <row r="1241" spans="1:6" ht="17.25" thickBot="1">
      <c r="A1241" s="36"/>
      <c r="B1241" s="36"/>
      <c r="C1241" s="36"/>
      <c r="D1241" s="36"/>
      <c r="E1241" s="36"/>
      <c r="F1241" s="36"/>
    </row>
    <row r="1242" spans="1:6" ht="34.5" thickBot="1">
      <c r="A1242" s="1" t="s">
        <v>0</v>
      </c>
      <c r="B1242" s="1" t="s">
        <v>1</v>
      </c>
      <c r="C1242" s="1" t="s">
        <v>2</v>
      </c>
      <c r="D1242" s="1" t="s">
        <v>3</v>
      </c>
      <c r="E1242" s="1" t="s">
        <v>4</v>
      </c>
      <c r="F1242" s="1" t="s">
        <v>5</v>
      </c>
    </row>
    <row r="1243" spans="1:6" ht="15.75" thickBot="1">
      <c r="A1243" s="2" t="s">
        <v>254</v>
      </c>
      <c r="B1243" s="2" t="s">
        <v>39</v>
      </c>
      <c r="C1243" s="2" t="s">
        <v>40</v>
      </c>
      <c r="D1243" s="2" t="s">
        <v>88</v>
      </c>
      <c r="E1243" s="2" t="s">
        <v>42</v>
      </c>
      <c r="F1243" s="2"/>
    </row>
    <row r="1244" spans="1:6" ht="15.75" thickBot="1">
      <c r="A1244" s="3" t="s">
        <v>11</v>
      </c>
      <c r="B1244" s="4" t="s">
        <v>12</v>
      </c>
      <c r="C1244" s="5">
        <v>43390</v>
      </c>
      <c r="D1244" s="3" t="s">
        <v>13</v>
      </c>
      <c r="E1244" s="4" t="s">
        <v>14</v>
      </c>
      <c r="F1244" s="2"/>
    </row>
    <row r="1245" spans="1:6" ht="15.75" thickBot="1">
      <c r="A1245" s="6"/>
      <c r="B1245" s="4" t="s">
        <v>15</v>
      </c>
      <c r="C1245" s="7">
        <f>IF(C1244="","",IF(AND(MONTH(C1244)&gt;=1,MONTH(C1244)&lt;=3),1,IF(AND(MONTH(C1244)&gt;=4,MONTH(C1244)&lt;=6),2,IF(AND(MONTH(C1244)&gt;=7,MONTH(C1244)&lt;=9),3,4))))</f>
        <v>4</v>
      </c>
      <c r="D1245" s="6"/>
      <c r="E1245" s="4" t="s">
        <v>16</v>
      </c>
      <c r="F1245" s="2"/>
    </row>
    <row r="1246" spans="1:6" ht="15.75" thickBot="1">
      <c r="A1246" s="6"/>
      <c r="B1246" s="4" t="s">
        <v>17</v>
      </c>
      <c r="C1246" s="5">
        <v>43448</v>
      </c>
      <c r="D1246" s="6"/>
      <c r="E1246" s="4" t="s">
        <v>18</v>
      </c>
      <c r="F1246" s="2"/>
    </row>
    <row r="1247" spans="1:6" ht="15.75" thickBot="1">
      <c r="A1247" s="6"/>
      <c r="B1247" s="4" t="s">
        <v>15</v>
      </c>
      <c r="C1247" s="7">
        <f>IF(C1246="","",IF(AND(MONTH(C1246)&gt;=1,MONTH(C1246)&lt;=3),1,IF(AND(MONTH(C1246)&gt;=4,MONTH(C1246)&lt;=6),2,IF(AND(MONTH(C1246)&gt;=7,MONTH(C1246)&lt;=9),3,4))))</f>
        <v>4</v>
      </c>
      <c r="D1247" s="6"/>
      <c r="E1247" s="4" t="s">
        <v>19</v>
      </c>
      <c r="F1247" s="2"/>
    </row>
    <row r="1248" spans="1:6" ht="15.75" thickBot="1">
      <c r="A1248" s="50"/>
      <c r="B1248" s="50"/>
      <c r="C1248" s="50"/>
      <c r="D1248" s="50"/>
      <c r="E1248" s="50"/>
      <c r="F1248" s="50"/>
    </row>
    <row r="1249" spans="1:6" ht="15.75" thickBot="1">
      <c r="A1249" s="41" t="s">
        <v>43</v>
      </c>
      <c r="B1249" s="41" t="s">
        <v>44</v>
      </c>
      <c r="C1249" s="41" t="s">
        <v>45</v>
      </c>
      <c r="D1249" s="41" t="s">
        <v>46</v>
      </c>
      <c r="E1249" s="41" t="s">
        <v>47</v>
      </c>
      <c r="F1249" s="41" t="s">
        <v>48</v>
      </c>
    </row>
    <row r="1250" spans="1:6">
      <c r="A1250" s="42">
        <v>25101501</v>
      </c>
      <c r="B1250" s="43" t="str">
        <f ca="1">IFERROR(INDEX(UNSPSCDes,MATCH(INDIRECT(ADDRESS(ROW(),COLUMN()-1,4)),UNSPSCCode,0)),"")</f>
        <v>Minibuses</v>
      </c>
      <c r="C1250" s="42" t="s">
        <v>252</v>
      </c>
      <c r="D1250" s="42">
        <v>2</v>
      </c>
      <c r="E1250" s="45">
        <v>1413600</v>
      </c>
      <c r="F1250" s="46">
        <f ca="1">INDIRECT(ADDRESS(ROW(),COLUMN()-2,4))*INDIRECT(ADDRESS(ROW(),COLUMN()-1,4))</f>
        <v>2827200</v>
      </c>
    </row>
    <row r="1251" spans="1:6">
      <c r="A1251" s="50"/>
      <c r="B1251" s="50"/>
      <c r="C1251" s="50"/>
      <c r="D1251" s="50"/>
      <c r="E1251" s="51" t="s">
        <v>50</v>
      </c>
      <c r="F1251" s="48">
        <f ca="1">SUM(Table3102[MONTO TOTAL ESTIMADO])</f>
        <v>2827200</v>
      </c>
    </row>
    <row r="1252" spans="1:6" ht="17.25" thickBot="1">
      <c r="A1252" s="36"/>
      <c r="B1252" s="36"/>
      <c r="C1252" s="36"/>
      <c r="D1252" s="36"/>
      <c r="E1252" s="36"/>
      <c r="F1252" s="36"/>
    </row>
    <row r="1253" spans="1:6" ht="34.5" thickBot="1">
      <c r="A1253" s="1" t="s">
        <v>0</v>
      </c>
      <c r="B1253" s="1" t="s">
        <v>1</v>
      </c>
      <c r="C1253" s="1" t="s">
        <v>2</v>
      </c>
      <c r="D1253" s="1" t="s">
        <v>3</v>
      </c>
      <c r="E1253" s="1" t="s">
        <v>4</v>
      </c>
      <c r="F1253" s="1" t="s">
        <v>5</v>
      </c>
    </row>
    <row r="1254" spans="1:6" ht="15.75" thickBot="1">
      <c r="A1254" s="2" t="s">
        <v>255</v>
      </c>
      <c r="B1254" s="2" t="s">
        <v>256</v>
      </c>
      <c r="C1254" s="2" t="s">
        <v>40</v>
      </c>
      <c r="D1254" s="2" t="s">
        <v>80</v>
      </c>
      <c r="E1254" s="2" t="s">
        <v>63</v>
      </c>
      <c r="F1254" s="2"/>
    </row>
    <row r="1255" spans="1:6" ht="15.75" thickBot="1">
      <c r="A1255" s="3" t="s">
        <v>11</v>
      </c>
      <c r="B1255" s="4" t="s">
        <v>12</v>
      </c>
      <c r="C1255" s="5">
        <v>43388</v>
      </c>
      <c r="D1255" s="3" t="s">
        <v>13</v>
      </c>
      <c r="E1255" s="4" t="s">
        <v>14</v>
      </c>
      <c r="F1255" s="2"/>
    </row>
    <row r="1256" spans="1:6" ht="15.75" thickBot="1">
      <c r="A1256" s="6"/>
      <c r="B1256" s="4" t="s">
        <v>15</v>
      </c>
      <c r="C1256" s="7">
        <f>IF(C1255="","",IF(AND(MONTH(C1255)&gt;=1,MONTH(C1255)&lt;=3),1,IF(AND(MONTH(C1255)&gt;=4,MONTH(C1255)&lt;=6),2,IF(AND(MONTH(C1255)&gt;=7,MONTH(C1255)&lt;=9),3,4))))</f>
        <v>4</v>
      </c>
      <c r="D1256" s="6"/>
      <c r="E1256" s="4" t="s">
        <v>16</v>
      </c>
      <c r="F1256" s="2"/>
    </row>
    <row r="1257" spans="1:6" ht="15.75" thickBot="1">
      <c r="A1257" s="6"/>
      <c r="B1257" s="4" t="s">
        <v>17</v>
      </c>
      <c r="C1257" s="5">
        <v>43409</v>
      </c>
      <c r="D1257" s="6"/>
      <c r="E1257" s="4" t="s">
        <v>18</v>
      </c>
      <c r="F1257" s="2"/>
    </row>
    <row r="1258" spans="1:6" ht="15.75" thickBot="1">
      <c r="A1258" s="6"/>
      <c r="B1258" s="4" t="s">
        <v>15</v>
      </c>
      <c r="C1258" s="7">
        <f>IF(C1257="","",IF(AND(MONTH(C1257)&gt;=1,MONTH(C1257)&lt;=3),1,IF(AND(MONTH(C1257)&gt;=4,MONTH(C1257)&lt;=6),2,IF(AND(MONTH(C1257)&gt;=7,MONTH(C1257)&lt;=9),3,4))))</f>
        <v>4</v>
      </c>
      <c r="D1258" s="6"/>
      <c r="E1258" s="4" t="s">
        <v>19</v>
      </c>
      <c r="F1258" s="2"/>
    </row>
    <row r="1259" spans="1:6" ht="15.75" thickBot="1">
      <c r="A1259" s="50"/>
      <c r="B1259" s="50"/>
      <c r="C1259" s="50"/>
      <c r="D1259" s="50"/>
      <c r="E1259" s="50"/>
      <c r="F1259" s="50"/>
    </row>
    <row r="1260" spans="1:6" ht="15.75" thickBot="1">
      <c r="A1260" s="41" t="s">
        <v>43</v>
      </c>
      <c r="B1260" s="41" t="s">
        <v>44</v>
      </c>
      <c r="C1260" s="41" t="s">
        <v>45</v>
      </c>
      <c r="D1260" s="41" t="s">
        <v>46</v>
      </c>
      <c r="E1260" s="41" t="s">
        <v>47</v>
      </c>
      <c r="F1260" s="41" t="s">
        <v>48</v>
      </c>
    </row>
    <row r="1261" spans="1:6" ht="22.5">
      <c r="A1261" s="42">
        <v>43211507</v>
      </c>
      <c r="B1261" s="43" t="str">
        <f ca="1">IFERROR(INDEX(UNSPSCDes,MATCH(INDIRECT(ADDRESS(ROW(),COLUMN()-1,4)),UNSPSCCode,0)),"")</f>
        <v>Computadores de escritorio</v>
      </c>
      <c r="C1261" s="42" t="s">
        <v>252</v>
      </c>
      <c r="D1261" s="42">
        <v>21</v>
      </c>
      <c r="E1261" s="45">
        <v>91123.71</v>
      </c>
      <c r="F1261" s="46">
        <f ca="1">INDIRECT(ADDRESS(ROW(),COLUMN()-2,4))*INDIRECT(ADDRESS(ROW(),COLUMN()-1,4))</f>
        <v>1913597.9100000001</v>
      </c>
    </row>
    <row r="1262" spans="1:6">
      <c r="A1262" s="50"/>
      <c r="B1262" s="50"/>
      <c r="C1262" s="50"/>
      <c r="D1262" s="50"/>
      <c r="E1262" s="51" t="s">
        <v>50</v>
      </c>
      <c r="F1262" s="48">
        <f ca="1">SUM(Table3103[MONTO TOTAL ESTIMADO])</f>
        <v>1913597.9100000001</v>
      </c>
    </row>
    <row r="1263" spans="1:6" ht="17.25" thickBot="1">
      <c r="A1263" s="36"/>
      <c r="B1263" s="36"/>
      <c r="C1263" s="36"/>
      <c r="D1263" s="36"/>
      <c r="E1263" s="36"/>
      <c r="F1263" s="36"/>
    </row>
    <row r="1264" spans="1:6" ht="34.5" thickBot="1">
      <c r="A1264" s="1" t="s">
        <v>0</v>
      </c>
      <c r="B1264" s="1" t="s">
        <v>1</v>
      </c>
      <c r="C1264" s="1" t="s">
        <v>2</v>
      </c>
      <c r="D1264" s="1" t="s">
        <v>3</v>
      </c>
      <c r="E1264" s="1" t="s">
        <v>4</v>
      </c>
      <c r="F1264" s="1" t="s">
        <v>5</v>
      </c>
    </row>
    <row r="1265" spans="1:6" ht="15.75" thickBot="1">
      <c r="A1265" s="2" t="s">
        <v>257</v>
      </c>
      <c r="B1265" s="2" t="s">
        <v>39</v>
      </c>
      <c r="C1265" s="2" t="s">
        <v>40</v>
      </c>
      <c r="D1265" s="2" t="s">
        <v>80</v>
      </c>
      <c r="E1265" s="2" t="s">
        <v>42</v>
      </c>
      <c r="F1265" s="2"/>
    </row>
    <row r="1266" spans="1:6" ht="15.75" thickBot="1">
      <c r="A1266" s="3" t="s">
        <v>11</v>
      </c>
      <c r="B1266" s="4" t="s">
        <v>12</v>
      </c>
      <c r="C1266" s="5">
        <v>43388</v>
      </c>
      <c r="D1266" s="3" t="s">
        <v>13</v>
      </c>
      <c r="E1266" s="4" t="s">
        <v>14</v>
      </c>
      <c r="F1266" s="2"/>
    </row>
    <row r="1267" spans="1:6" ht="15.75" thickBot="1">
      <c r="A1267" s="6"/>
      <c r="B1267" s="4" t="s">
        <v>15</v>
      </c>
      <c r="C1267" s="7">
        <f>IF(C1266="","",IF(AND(MONTH(C1266)&gt;=1,MONTH(C1266)&lt;=3),1,IF(AND(MONTH(C1266)&gt;=4,MONTH(C1266)&lt;=6),2,IF(AND(MONTH(C1266)&gt;=7,MONTH(C1266)&lt;=9),3,4))))</f>
        <v>4</v>
      </c>
      <c r="D1267" s="6"/>
      <c r="E1267" s="4" t="s">
        <v>16</v>
      </c>
      <c r="F1267" s="2"/>
    </row>
    <row r="1268" spans="1:6" ht="15.75" thickBot="1">
      <c r="A1268" s="6"/>
      <c r="B1268" s="4" t="s">
        <v>17</v>
      </c>
      <c r="C1268" s="5">
        <v>43410</v>
      </c>
      <c r="D1268" s="6"/>
      <c r="E1268" s="4" t="s">
        <v>18</v>
      </c>
      <c r="F1268" s="2"/>
    </row>
    <row r="1269" spans="1:6" ht="15.75" thickBot="1">
      <c r="A1269" s="6"/>
      <c r="B1269" s="4" t="s">
        <v>15</v>
      </c>
      <c r="C1269" s="7">
        <f>IF(C1268="","",IF(AND(MONTH(C1268)&gt;=1,MONTH(C1268)&lt;=3),1,IF(AND(MONTH(C1268)&gt;=4,MONTH(C1268)&lt;=6),2,IF(AND(MONTH(C1268)&gt;=7,MONTH(C1268)&lt;=9),3,4))))</f>
        <v>4</v>
      </c>
      <c r="D1269" s="6"/>
      <c r="E1269" s="4" t="s">
        <v>19</v>
      </c>
      <c r="F1269" s="2"/>
    </row>
    <row r="1270" spans="1:6" ht="15.75" thickBot="1">
      <c r="A1270" s="50"/>
      <c r="B1270" s="50"/>
      <c r="C1270" s="50"/>
      <c r="D1270" s="50"/>
      <c r="E1270" s="50"/>
      <c r="F1270" s="50"/>
    </row>
    <row r="1271" spans="1:6" ht="15.75" thickBot="1">
      <c r="A1271" s="41" t="s">
        <v>43</v>
      </c>
      <c r="B1271" s="41" t="s">
        <v>44</v>
      </c>
      <c r="C1271" s="41" t="s">
        <v>45</v>
      </c>
      <c r="D1271" s="41" t="s">
        <v>46</v>
      </c>
      <c r="E1271" s="41" t="s">
        <v>47</v>
      </c>
      <c r="F1271" s="41" t="s">
        <v>48</v>
      </c>
    </row>
    <row r="1272" spans="1:6" ht="22.5">
      <c r="A1272" s="42">
        <v>43211507</v>
      </c>
      <c r="B1272" s="43" t="str">
        <f ca="1">IFERROR(INDEX(UNSPSCDes,MATCH(INDIRECT(ADDRESS(ROW(),COLUMN()-1,4)),UNSPSCCode,0)),"")</f>
        <v>Computadores de escritorio</v>
      </c>
      <c r="C1272" s="42" t="s">
        <v>252</v>
      </c>
      <c r="D1272" s="42">
        <v>24</v>
      </c>
      <c r="E1272" s="45">
        <v>52025.08</v>
      </c>
      <c r="F1272" s="46">
        <f ca="1">INDIRECT(ADDRESS(ROW(),COLUMN()-2,4))*INDIRECT(ADDRESS(ROW(),COLUMN()-1,4))</f>
        <v>1248601.92</v>
      </c>
    </row>
    <row r="1273" spans="1:6">
      <c r="A1273" s="50"/>
      <c r="B1273" s="50"/>
      <c r="C1273" s="50"/>
      <c r="D1273" s="50"/>
      <c r="E1273" s="51" t="s">
        <v>50</v>
      </c>
      <c r="F1273" s="48">
        <f ca="1">SUM(Table3104[MONTO TOTAL ESTIMADO])</f>
        <v>1248601.92</v>
      </c>
    </row>
    <row r="1274" spans="1:6" ht="17.25" thickBot="1">
      <c r="A1274" s="36"/>
      <c r="B1274" s="36"/>
      <c r="C1274" s="36"/>
      <c r="D1274" s="36"/>
      <c r="E1274" s="36"/>
      <c r="F1274" s="36"/>
    </row>
    <row r="1275" spans="1:6" ht="34.5" thickBot="1">
      <c r="A1275" s="1" t="s">
        <v>0</v>
      </c>
      <c r="B1275" s="1" t="s">
        <v>1</v>
      </c>
      <c r="C1275" s="1" t="s">
        <v>2</v>
      </c>
      <c r="D1275" s="1" t="s">
        <v>3</v>
      </c>
      <c r="E1275" s="1" t="s">
        <v>4</v>
      </c>
      <c r="F1275" s="1" t="s">
        <v>5</v>
      </c>
    </row>
    <row r="1276" spans="1:6" ht="15.75" thickBot="1">
      <c r="A1276" s="2" t="s">
        <v>258</v>
      </c>
      <c r="B1276" s="2" t="s">
        <v>39</v>
      </c>
      <c r="C1276" s="2" t="s">
        <v>40</v>
      </c>
      <c r="D1276" s="2" t="s">
        <v>80</v>
      </c>
      <c r="E1276" s="2" t="s">
        <v>63</v>
      </c>
      <c r="F1276" s="2"/>
    </row>
    <row r="1277" spans="1:6" ht="15.75" thickBot="1">
      <c r="A1277" s="3" t="s">
        <v>11</v>
      </c>
      <c r="B1277" s="4" t="s">
        <v>12</v>
      </c>
      <c r="C1277" s="5">
        <v>43378</v>
      </c>
      <c r="D1277" s="3" t="s">
        <v>13</v>
      </c>
      <c r="E1277" s="4" t="s">
        <v>14</v>
      </c>
      <c r="F1277" s="2"/>
    </row>
    <row r="1278" spans="1:6" ht="15.75" thickBot="1">
      <c r="A1278" s="6"/>
      <c r="B1278" s="4" t="s">
        <v>15</v>
      </c>
      <c r="C1278" s="7">
        <f>IF(C1277="","",IF(AND(MONTH(C1277)&gt;=1,MONTH(C1277)&lt;=3),1,IF(AND(MONTH(C1277)&gt;=4,MONTH(C1277)&lt;=6),2,IF(AND(MONTH(C1277)&gt;=7,MONTH(C1277)&lt;=9),3,4))))</f>
        <v>4</v>
      </c>
      <c r="D1278" s="6"/>
      <c r="E1278" s="4" t="s">
        <v>16</v>
      </c>
      <c r="F1278" s="2"/>
    </row>
    <row r="1279" spans="1:6" ht="15.75" thickBot="1">
      <c r="A1279" s="6"/>
      <c r="B1279" s="4" t="s">
        <v>17</v>
      </c>
      <c r="C1279" s="5">
        <v>43393</v>
      </c>
      <c r="D1279" s="6"/>
      <c r="E1279" s="4" t="s">
        <v>18</v>
      </c>
      <c r="F1279" s="2"/>
    </row>
    <row r="1280" spans="1:6" ht="15.75" thickBot="1">
      <c r="A1280" s="6"/>
      <c r="B1280" s="4" t="s">
        <v>15</v>
      </c>
      <c r="C1280" s="7">
        <f>IF(C1279="","",IF(AND(MONTH(C1279)&gt;=1,MONTH(C1279)&lt;=3),1,IF(AND(MONTH(C1279)&gt;=4,MONTH(C1279)&lt;=6),2,IF(AND(MONTH(C1279)&gt;=7,MONTH(C1279)&lt;=9),3,4))))</f>
        <v>4</v>
      </c>
      <c r="D1280" s="6"/>
      <c r="E1280" s="4" t="s">
        <v>19</v>
      </c>
      <c r="F1280" s="2"/>
    </row>
    <row r="1281" spans="1:6" ht="15.75" thickBot="1">
      <c r="A1281" s="50"/>
      <c r="B1281" s="50"/>
      <c r="C1281" s="50"/>
      <c r="D1281" s="50"/>
      <c r="E1281" s="50"/>
      <c r="F1281" s="50"/>
    </row>
    <row r="1282" spans="1:6" ht="15.75" thickBot="1">
      <c r="A1282" s="41" t="s">
        <v>43</v>
      </c>
      <c r="B1282" s="41" t="s">
        <v>44</v>
      </c>
      <c r="C1282" s="41" t="s">
        <v>45</v>
      </c>
      <c r="D1282" s="41" t="s">
        <v>46</v>
      </c>
      <c r="E1282" s="41" t="s">
        <v>47</v>
      </c>
      <c r="F1282" s="41" t="s">
        <v>48</v>
      </c>
    </row>
    <row r="1283" spans="1:6" ht="22.5">
      <c r="A1283" s="42">
        <v>43211501</v>
      </c>
      <c r="B1283" s="43" t="str">
        <f ca="1">IFERROR(INDEX(UNSPSCDes,MATCH(INDIRECT(ADDRESS(ROW(),COLUMN()-1,4)),UNSPSCCode,0)),"")</f>
        <v>Servidores de computador</v>
      </c>
      <c r="C1283" s="42" t="s">
        <v>252</v>
      </c>
      <c r="D1283" s="42">
        <v>2</v>
      </c>
      <c r="E1283" s="45">
        <v>1242925.25</v>
      </c>
      <c r="F1283" s="46">
        <f ca="1">INDIRECT(ADDRESS(ROW(),COLUMN()-2,4))*INDIRECT(ADDRESS(ROW(),COLUMN()-1,4))</f>
        <v>2485850.5</v>
      </c>
    </row>
    <row r="1284" spans="1:6">
      <c r="A1284" s="50"/>
      <c r="B1284" s="50"/>
      <c r="C1284" s="50"/>
      <c r="D1284" s="50"/>
      <c r="E1284" s="51" t="s">
        <v>50</v>
      </c>
      <c r="F1284" s="48">
        <f ca="1">SUM(Table3105[MONTO TOTAL ESTIMADO])</f>
        <v>2485850.5</v>
      </c>
    </row>
    <row r="1285" spans="1:6" ht="17.25" thickBot="1">
      <c r="A1285" s="36"/>
      <c r="B1285" s="36"/>
      <c r="C1285" s="36"/>
      <c r="D1285" s="36"/>
      <c r="E1285" s="36"/>
      <c r="F1285" s="36"/>
    </row>
    <row r="1286" spans="1:6" ht="34.5" thickBot="1">
      <c r="A1286" s="1" t="s">
        <v>0</v>
      </c>
      <c r="B1286" s="1" t="s">
        <v>1</v>
      </c>
      <c r="C1286" s="1" t="s">
        <v>2</v>
      </c>
      <c r="D1286" s="1" t="s">
        <v>3</v>
      </c>
      <c r="E1286" s="1" t="s">
        <v>4</v>
      </c>
      <c r="F1286" s="1" t="s">
        <v>5</v>
      </c>
    </row>
    <row r="1287" spans="1:6" ht="15.75" thickBot="1">
      <c r="A1287" s="2" t="s">
        <v>259</v>
      </c>
      <c r="B1287" s="2" t="s">
        <v>251</v>
      </c>
      <c r="C1287" s="2" t="s">
        <v>8</v>
      </c>
      <c r="D1287" s="2" t="s">
        <v>53</v>
      </c>
      <c r="E1287" s="2" t="s">
        <v>42</v>
      </c>
      <c r="F1287" s="2"/>
    </row>
    <row r="1288" spans="1:6" ht="15.75" thickBot="1">
      <c r="A1288" s="3" t="s">
        <v>11</v>
      </c>
      <c r="B1288" s="4" t="s">
        <v>12</v>
      </c>
      <c r="C1288" s="5">
        <v>43353</v>
      </c>
      <c r="D1288" s="3" t="s">
        <v>13</v>
      </c>
      <c r="E1288" s="4" t="s">
        <v>14</v>
      </c>
      <c r="F1288" s="2"/>
    </row>
    <row r="1289" spans="1:6" ht="15.75" thickBot="1">
      <c r="A1289" s="6"/>
      <c r="B1289" s="4" t="s">
        <v>15</v>
      </c>
      <c r="C1289" s="7">
        <f>IF(C1288="","",IF(AND(MONTH(C1288)&gt;=1,MONTH(C1288)&lt;=3),1,IF(AND(MONTH(C1288)&gt;=4,MONTH(C1288)&lt;=6),2,IF(AND(MONTH(C1288)&gt;=7,MONTH(C1288)&lt;=9),3,4))))</f>
        <v>3</v>
      </c>
      <c r="D1289" s="6"/>
      <c r="E1289" s="4" t="s">
        <v>16</v>
      </c>
      <c r="F1289" s="2"/>
    </row>
    <row r="1290" spans="1:6" ht="15.75" thickBot="1">
      <c r="A1290" s="6"/>
      <c r="B1290" s="4" t="s">
        <v>17</v>
      </c>
      <c r="C1290" s="5">
        <v>43364</v>
      </c>
      <c r="D1290" s="6"/>
      <c r="E1290" s="4" t="s">
        <v>18</v>
      </c>
      <c r="F1290" s="2"/>
    </row>
    <row r="1291" spans="1:6" ht="15.75" thickBot="1">
      <c r="A1291" s="6"/>
      <c r="B1291" s="4" t="s">
        <v>15</v>
      </c>
      <c r="C1291" s="7">
        <f>IF(C1290="","",IF(AND(MONTH(C1290)&gt;=1,MONTH(C1290)&lt;=3),1,IF(AND(MONTH(C1290)&gt;=4,MONTH(C1290)&lt;=6),2,IF(AND(MONTH(C1290)&gt;=7,MONTH(C1290)&lt;=9),3,4))))</f>
        <v>3</v>
      </c>
      <c r="D1291" s="6"/>
      <c r="E1291" s="4" t="s">
        <v>19</v>
      </c>
      <c r="F1291" s="2"/>
    </row>
    <row r="1292" spans="1:6" ht="15.75" thickBot="1">
      <c r="A1292" s="50"/>
      <c r="B1292" s="50"/>
      <c r="C1292" s="50"/>
      <c r="D1292" s="50"/>
      <c r="E1292" s="50"/>
      <c r="F1292" s="50"/>
    </row>
    <row r="1293" spans="1:6" ht="15.75" thickBot="1">
      <c r="A1293" s="41" t="s">
        <v>43</v>
      </c>
      <c r="B1293" s="41" t="s">
        <v>44</v>
      </c>
      <c r="C1293" s="41" t="s">
        <v>45</v>
      </c>
      <c r="D1293" s="41" t="s">
        <v>46</v>
      </c>
      <c r="E1293" s="41" t="s">
        <v>47</v>
      </c>
      <c r="F1293" s="41" t="s">
        <v>48</v>
      </c>
    </row>
    <row r="1294" spans="1:6" ht="33.75">
      <c r="A1294" s="42">
        <v>81112003</v>
      </c>
      <c r="B1294" s="43" t="str">
        <f ca="1">IFERROR(INDEX(UNSPSCDes,MATCH(INDIRECT(ADDRESS(ROW(),COLUMN()-1,4)),UNSPSCCode,0)),"")</f>
        <v>Servicios de centros de datos</v>
      </c>
      <c r="C1294" s="42" t="s">
        <v>252</v>
      </c>
      <c r="D1294" s="42">
        <v>1</v>
      </c>
      <c r="E1294" s="45">
        <v>870000</v>
      </c>
      <c r="F1294" s="46">
        <f ca="1">INDIRECT(ADDRESS(ROW(),COLUMN()-2,4))*INDIRECT(ADDRESS(ROW(),COLUMN()-1,4))</f>
        <v>870000</v>
      </c>
    </row>
    <row r="1295" spans="1:6">
      <c r="A1295" s="50"/>
      <c r="B1295" s="50"/>
      <c r="C1295" s="50"/>
      <c r="D1295" s="50"/>
      <c r="E1295" s="51" t="s">
        <v>50</v>
      </c>
      <c r="F1295" s="48">
        <f ca="1">SUM(Table3106[MONTO TOTAL ESTIMADO])</f>
        <v>870000</v>
      </c>
    </row>
    <row r="1296" spans="1:6" ht="17.25" thickBot="1">
      <c r="A1296" s="36"/>
      <c r="B1296" s="36"/>
      <c r="C1296" s="36"/>
      <c r="D1296" s="36"/>
      <c r="E1296" s="36"/>
      <c r="F1296" s="36"/>
    </row>
    <row r="1297" spans="1:6" ht="34.5" thickBot="1">
      <c r="A1297" s="1" t="s">
        <v>0</v>
      </c>
      <c r="B1297" s="1" t="s">
        <v>1</v>
      </c>
      <c r="C1297" s="1" t="s">
        <v>2</v>
      </c>
      <c r="D1297" s="1" t="s">
        <v>3</v>
      </c>
      <c r="E1297" s="1" t="s">
        <v>4</v>
      </c>
      <c r="F1297" s="1" t="s">
        <v>5</v>
      </c>
    </row>
    <row r="1298" spans="1:6" ht="15.75" thickBot="1">
      <c r="A1298" s="2" t="s">
        <v>260</v>
      </c>
      <c r="B1298" s="2" t="s">
        <v>261</v>
      </c>
      <c r="C1298" s="2" t="s">
        <v>8</v>
      </c>
      <c r="D1298" s="2" t="s">
        <v>41</v>
      </c>
      <c r="E1298" s="2" t="s">
        <v>42</v>
      </c>
      <c r="F1298" s="2"/>
    </row>
    <row r="1299" spans="1:6" ht="15.75" thickBot="1">
      <c r="A1299" s="3" t="s">
        <v>11</v>
      </c>
      <c r="B1299" s="4" t="s">
        <v>12</v>
      </c>
      <c r="C1299" s="5">
        <v>43348</v>
      </c>
      <c r="D1299" s="3" t="s">
        <v>13</v>
      </c>
      <c r="E1299" s="4" t="s">
        <v>14</v>
      </c>
      <c r="F1299" s="2"/>
    </row>
    <row r="1300" spans="1:6" ht="15.75" thickBot="1">
      <c r="A1300" s="6"/>
      <c r="B1300" s="4" t="s">
        <v>15</v>
      </c>
      <c r="C1300" s="7">
        <f>IF(C1299="","",IF(AND(MONTH(C1299)&gt;=1,MONTH(C1299)&lt;=3),1,IF(AND(MONTH(C1299)&gt;=4,MONTH(C1299)&lt;=6),2,IF(AND(MONTH(C1299)&gt;=7,MONTH(C1299)&lt;=9),3,4))))</f>
        <v>3</v>
      </c>
      <c r="D1300" s="6"/>
      <c r="E1300" s="4" t="s">
        <v>16</v>
      </c>
      <c r="F1300" s="2"/>
    </row>
    <row r="1301" spans="1:6" ht="15.75" thickBot="1">
      <c r="A1301" s="6"/>
      <c r="B1301" s="4" t="s">
        <v>17</v>
      </c>
      <c r="C1301" s="5">
        <v>43358</v>
      </c>
      <c r="D1301" s="6"/>
      <c r="E1301" s="4" t="s">
        <v>18</v>
      </c>
      <c r="F1301" s="2"/>
    </row>
    <row r="1302" spans="1:6" ht="15.75" thickBot="1">
      <c r="A1302" s="6"/>
      <c r="B1302" s="4" t="s">
        <v>15</v>
      </c>
      <c r="C1302" s="7">
        <f>IF(C1301="","",IF(AND(MONTH(C1301)&gt;=1,MONTH(C1301)&lt;=3),1,IF(AND(MONTH(C1301)&gt;=4,MONTH(C1301)&lt;=6),2,IF(AND(MONTH(C1301)&gt;=7,MONTH(C1301)&lt;=9),3,4))))</f>
        <v>3</v>
      </c>
      <c r="D1302" s="6"/>
      <c r="E1302" s="4" t="s">
        <v>19</v>
      </c>
      <c r="F1302" s="2"/>
    </row>
    <row r="1303" spans="1:6" ht="15.75" thickBot="1">
      <c r="A1303" s="50"/>
      <c r="B1303" s="50"/>
      <c r="C1303" s="50"/>
      <c r="D1303" s="50"/>
      <c r="E1303" s="50"/>
      <c r="F1303" s="50"/>
    </row>
    <row r="1304" spans="1:6" ht="15.75" thickBot="1">
      <c r="A1304" s="41" t="s">
        <v>43</v>
      </c>
      <c r="B1304" s="41" t="s">
        <v>44</v>
      </c>
      <c r="C1304" s="41" t="s">
        <v>45</v>
      </c>
      <c r="D1304" s="41" t="s">
        <v>46</v>
      </c>
      <c r="E1304" s="41" t="s">
        <v>47</v>
      </c>
      <c r="F1304" s="41" t="s">
        <v>48</v>
      </c>
    </row>
    <row r="1305" spans="1:6" ht="33.75">
      <c r="A1305" s="42">
        <v>78111502</v>
      </c>
      <c r="B1305" s="43" t="str">
        <f ca="1">IFERROR(INDEX(UNSPSCDes,MATCH(INDIRECT(ADDRESS(ROW(),COLUMN()-1,4)),UNSPSCCode,0)),"")</f>
        <v>Viajes en aviones comerciales</v>
      </c>
      <c r="C1305" s="42" t="s">
        <v>252</v>
      </c>
      <c r="D1305" s="42">
        <v>3</v>
      </c>
      <c r="E1305" s="45">
        <v>100000</v>
      </c>
      <c r="F1305" s="46">
        <f ca="1">INDIRECT(ADDRESS(ROW(),COLUMN()-2,4))*INDIRECT(ADDRESS(ROW(),COLUMN()-1,4))</f>
        <v>300000</v>
      </c>
    </row>
    <row r="1306" spans="1:6">
      <c r="A1306" s="50"/>
      <c r="B1306" s="50"/>
      <c r="C1306" s="50"/>
      <c r="D1306" s="50"/>
      <c r="E1306" s="51" t="s">
        <v>50</v>
      </c>
      <c r="F1306" s="48">
        <f ca="1">SUM(Table3107[MONTO TOTAL ESTIMADO])</f>
        <v>300000</v>
      </c>
    </row>
    <row r="1307" spans="1:6" ht="17.25" thickBot="1">
      <c r="A1307" s="36"/>
      <c r="B1307" s="36"/>
      <c r="C1307" s="36"/>
      <c r="D1307" s="36"/>
      <c r="E1307" s="36"/>
      <c r="F1307" s="36"/>
    </row>
    <row r="1308" spans="1:6" ht="34.5" thickBot="1">
      <c r="A1308" s="1" t="s">
        <v>0</v>
      </c>
      <c r="B1308" s="1" t="s">
        <v>1</v>
      </c>
      <c r="C1308" s="1" t="s">
        <v>2</v>
      </c>
      <c r="D1308" s="1" t="s">
        <v>3</v>
      </c>
      <c r="E1308" s="1" t="s">
        <v>4</v>
      </c>
      <c r="F1308" s="1" t="s">
        <v>5</v>
      </c>
    </row>
    <row r="1309" spans="1:6" ht="15.75" thickBot="1">
      <c r="A1309" s="2" t="s">
        <v>262</v>
      </c>
      <c r="B1309" s="2" t="s">
        <v>263</v>
      </c>
      <c r="C1309" s="2" t="s">
        <v>40</v>
      </c>
      <c r="D1309" s="2" t="s">
        <v>41</v>
      </c>
      <c r="E1309" s="2" t="s">
        <v>42</v>
      </c>
      <c r="F1309" s="2"/>
    </row>
    <row r="1310" spans="1:6" ht="15.75" thickBot="1">
      <c r="A1310" s="3" t="s">
        <v>11</v>
      </c>
      <c r="B1310" s="4" t="s">
        <v>12</v>
      </c>
      <c r="C1310" s="5">
        <v>43419</v>
      </c>
      <c r="D1310" s="3" t="s">
        <v>13</v>
      </c>
      <c r="E1310" s="4" t="s">
        <v>14</v>
      </c>
      <c r="F1310" s="2"/>
    </row>
    <row r="1311" spans="1:6" ht="15.75" thickBot="1">
      <c r="A1311" s="6"/>
      <c r="B1311" s="4" t="s">
        <v>15</v>
      </c>
      <c r="C1311" s="7">
        <f>IF(C1310="","",IF(AND(MONTH(C1310)&gt;=1,MONTH(C1310)&lt;=3),1,IF(AND(MONTH(C1310)&gt;=4,MONTH(C1310)&lt;=6),2,IF(AND(MONTH(C1310)&gt;=7,MONTH(C1310)&lt;=9),3,4))))</f>
        <v>4</v>
      </c>
      <c r="D1311" s="6"/>
      <c r="E1311" s="4" t="s">
        <v>16</v>
      </c>
      <c r="F1311" s="2"/>
    </row>
    <row r="1312" spans="1:6" ht="15.75" thickBot="1">
      <c r="A1312" s="6"/>
      <c r="B1312" s="4" t="s">
        <v>17</v>
      </c>
      <c r="C1312" s="5">
        <v>43429</v>
      </c>
      <c r="D1312" s="6"/>
      <c r="E1312" s="4" t="s">
        <v>18</v>
      </c>
      <c r="F1312" s="2"/>
    </row>
    <row r="1313" spans="1:6" ht="15.75" thickBot="1">
      <c r="A1313" s="6"/>
      <c r="B1313" s="4" t="s">
        <v>15</v>
      </c>
      <c r="C1313" s="7">
        <f>IF(C1312="","",IF(AND(MONTH(C1312)&gt;=1,MONTH(C1312)&lt;=3),1,IF(AND(MONTH(C1312)&gt;=4,MONTH(C1312)&lt;=6),2,IF(AND(MONTH(C1312)&gt;=7,MONTH(C1312)&lt;=9),3,4))))</f>
        <v>4</v>
      </c>
      <c r="D1313" s="6"/>
      <c r="E1313" s="4" t="s">
        <v>19</v>
      </c>
      <c r="F1313" s="2"/>
    </row>
    <row r="1314" spans="1:6" ht="15.75" thickBot="1">
      <c r="A1314" s="50"/>
      <c r="B1314" s="50"/>
      <c r="C1314" s="50"/>
      <c r="D1314" s="50"/>
      <c r="E1314" s="50"/>
      <c r="F1314" s="50"/>
    </row>
    <row r="1315" spans="1:6" ht="15.75" thickBot="1">
      <c r="A1315" s="41" t="s">
        <v>43</v>
      </c>
      <c r="B1315" s="41" t="s">
        <v>44</v>
      </c>
      <c r="C1315" s="41" t="s">
        <v>45</v>
      </c>
      <c r="D1315" s="41" t="s">
        <v>46</v>
      </c>
      <c r="E1315" s="41" t="s">
        <v>47</v>
      </c>
      <c r="F1315" s="41" t="s">
        <v>48</v>
      </c>
    </row>
    <row r="1316" spans="1:6">
      <c r="A1316" s="42">
        <v>56101502</v>
      </c>
      <c r="B1316" s="43" t="str">
        <f t="shared" ref="B1316:B1328" ca="1" si="11">IFERROR(INDEX(UNSPSCDes,MATCH(INDIRECT(ADDRESS(ROW(),COLUMN()-1,4)),UNSPSCCode,0)),"")</f>
        <v>Sofás</v>
      </c>
      <c r="C1316" s="42" t="s">
        <v>252</v>
      </c>
      <c r="D1316" s="42">
        <v>1</v>
      </c>
      <c r="E1316" s="45">
        <v>43943.199999999997</v>
      </c>
      <c r="F1316" s="46">
        <f t="shared" ref="F1316:F1328" ca="1" si="12">INDIRECT(ADDRESS(ROW(),COLUMN()-2,4))*INDIRECT(ADDRESS(ROW(),COLUMN()-1,4))</f>
        <v>43943.199999999997</v>
      </c>
    </row>
    <row r="1317" spans="1:6" ht="22.5">
      <c r="A1317" s="42">
        <v>56112104</v>
      </c>
      <c r="B1317" s="43" t="str">
        <f t="shared" ca="1" si="11"/>
        <v>Sillas para ejecutivos</v>
      </c>
      <c r="C1317" s="42" t="s">
        <v>252</v>
      </c>
      <c r="D1317" s="42">
        <v>1</v>
      </c>
      <c r="E1317" s="45">
        <v>107046.06</v>
      </c>
      <c r="F1317" s="46">
        <f t="shared" ca="1" si="12"/>
        <v>107046.06</v>
      </c>
    </row>
    <row r="1318" spans="1:6">
      <c r="A1318" s="42">
        <v>56101703</v>
      </c>
      <c r="B1318" s="43" t="str">
        <f t="shared" ca="1" si="11"/>
        <v>Escritorios</v>
      </c>
      <c r="C1318" s="42" t="s">
        <v>252</v>
      </c>
      <c r="D1318" s="42">
        <v>3</v>
      </c>
      <c r="E1318" s="45">
        <v>14683.92</v>
      </c>
      <c r="F1318" s="46">
        <f t="shared" ca="1" si="12"/>
        <v>44051.76</v>
      </c>
    </row>
    <row r="1319" spans="1:6" ht="45">
      <c r="A1319" s="42">
        <v>56101713</v>
      </c>
      <c r="B1319" s="43" t="str">
        <f t="shared" ca="1" si="11"/>
        <v>Puestos (mesas) laterales de escritorios</v>
      </c>
      <c r="C1319" s="42" t="s">
        <v>252</v>
      </c>
      <c r="D1319" s="42">
        <v>3</v>
      </c>
      <c r="E1319" s="45">
        <v>5898.82</v>
      </c>
      <c r="F1319" s="46">
        <f t="shared" ca="1" si="12"/>
        <v>17696.46</v>
      </c>
    </row>
    <row r="1320" spans="1:6" ht="22.5">
      <c r="A1320" s="42">
        <v>56112104</v>
      </c>
      <c r="B1320" s="43" t="str">
        <f t="shared" ca="1" si="11"/>
        <v>Sillas para ejecutivos</v>
      </c>
      <c r="C1320" s="42" t="s">
        <v>252</v>
      </c>
      <c r="D1320" s="42">
        <v>1</v>
      </c>
      <c r="E1320" s="45">
        <v>96929.8</v>
      </c>
      <c r="F1320" s="46">
        <f t="shared" ca="1" si="12"/>
        <v>96929.8</v>
      </c>
    </row>
    <row r="1321" spans="1:6" ht="22.5">
      <c r="A1321" s="42">
        <v>42192210</v>
      </c>
      <c r="B1321" s="43" t="str">
        <f t="shared" ca="1" si="11"/>
        <v>Sillas de ruedas</v>
      </c>
      <c r="C1321" s="42" t="s">
        <v>252</v>
      </c>
      <c r="D1321" s="42">
        <v>6</v>
      </c>
      <c r="E1321" s="45">
        <v>8425</v>
      </c>
      <c r="F1321" s="46">
        <f t="shared" ca="1" si="12"/>
        <v>50550</v>
      </c>
    </row>
    <row r="1322" spans="1:6" ht="45">
      <c r="A1322" s="42">
        <v>56111502</v>
      </c>
      <c r="B1322" s="43" t="str">
        <f t="shared" ca="1" si="11"/>
        <v>Paquetes de muebles para ejecutivos no modulares</v>
      </c>
      <c r="C1322" s="42" t="s">
        <v>252</v>
      </c>
      <c r="D1322" s="42">
        <v>2</v>
      </c>
      <c r="E1322" s="45">
        <v>174294.26</v>
      </c>
      <c r="F1322" s="46">
        <f t="shared" ca="1" si="12"/>
        <v>348588.52</v>
      </c>
    </row>
    <row r="1323" spans="1:6" ht="45">
      <c r="A1323" s="42">
        <v>56111502</v>
      </c>
      <c r="B1323" s="43" t="str">
        <f t="shared" ca="1" si="11"/>
        <v>Paquetes de muebles para ejecutivos no modulares</v>
      </c>
      <c r="C1323" s="42" t="s">
        <v>252</v>
      </c>
      <c r="D1323" s="42">
        <v>1</v>
      </c>
      <c r="E1323" s="45">
        <v>62115.199999999997</v>
      </c>
      <c r="F1323" s="46">
        <f t="shared" ca="1" si="12"/>
        <v>62115.199999999997</v>
      </c>
    </row>
    <row r="1324" spans="1:6">
      <c r="A1324" s="42">
        <v>56101703</v>
      </c>
      <c r="B1324" s="43" t="str">
        <f t="shared" ca="1" si="11"/>
        <v>Escritorios</v>
      </c>
      <c r="C1324" s="42" t="s">
        <v>252</v>
      </c>
      <c r="D1324" s="42">
        <v>1</v>
      </c>
      <c r="E1324" s="45">
        <v>343742.85</v>
      </c>
      <c r="F1324" s="46">
        <f t="shared" ca="1" si="12"/>
        <v>343742.85</v>
      </c>
    </row>
    <row r="1325" spans="1:6" ht="45">
      <c r="A1325" s="42">
        <v>56101713</v>
      </c>
      <c r="B1325" s="43" t="str">
        <f t="shared" ca="1" si="11"/>
        <v>Puestos (mesas) laterales de escritorios</v>
      </c>
      <c r="C1325" s="42" t="s">
        <v>252</v>
      </c>
      <c r="D1325" s="42">
        <v>1</v>
      </c>
      <c r="E1325" s="45">
        <v>116130.41</v>
      </c>
      <c r="F1325" s="46">
        <f t="shared" ca="1" si="12"/>
        <v>116130.41</v>
      </c>
    </row>
    <row r="1326" spans="1:6" ht="22.5">
      <c r="A1326" s="42">
        <v>56101706</v>
      </c>
      <c r="B1326" s="43" t="str">
        <f t="shared" ca="1" si="11"/>
        <v>Mesas de conferencia</v>
      </c>
      <c r="C1326" s="42" t="s">
        <v>252</v>
      </c>
      <c r="D1326" s="42">
        <v>1</v>
      </c>
      <c r="E1326" s="45">
        <v>88066.35</v>
      </c>
      <c r="F1326" s="46">
        <f t="shared" ca="1" si="12"/>
        <v>88066.35</v>
      </c>
    </row>
    <row r="1327" spans="1:6" ht="22.5">
      <c r="A1327" s="42">
        <v>56112103</v>
      </c>
      <c r="B1327" s="43" t="str">
        <f t="shared" ca="1" si="11"/>
        <v>Sillas para visitantes</v>
      </c>
      <c r="C1327" s="42" t="s">
        <v>252</v>
      </c>
      <c r="D1327" s="42">
        <v>2</v>
      </c>
      <c r="E1327" s="45">
        <v>70919.179999999993</v>
      </c>
      <c r="F1327" s="46">
        <f t="shared" ca="1" si="12"/>
        <v>141838.35999999999</v>
      </c>
    </row>
    <row r="1328" spans="1:6">
      <c r="A1328" s="42"/>
      <c r="B1328" s="43" t="str">
        <f t="shared" ca="1" si="11"/>
        <v/>
      </c>
      <c r="C1328" s="42"/>
      <c r="D1328" s="42"/>
      <c r="E1328" s="45"/>
      <c r="F1328" s="46">
        <f t="shared" ca="1" si="12"/>
        <v>0</v>
      </c>
    </row>
    <row r="1329" spans="1:6">
      <c r="A1329" s="50"/>
      <c r="B1329" s="50"/>
      <c r="C1329" s="50"/>
      <c r="D1329" s="50"/>
      <c r="E1329" s="51" t="s">
        <v>50</v>
      </c>
      <c r="F1329" s="48">
        <f ca="1">SUM(Table3108[MONTO TOTAL ESTIMADO])</f>
        <v>1460698.9700000002</v>
      </c>
    </row>
    <row r="1330" spans="1:6" ht="17.25" thickBot="1">
      <c r="A1330" s="36"/>
      <c r="B1330" s="36"/>
      <c r="C1330" s="36"/>
      <c r="D1330" s="36"/>
      <c r="E1330" s="36"/>
      <c r="F1330" s="36"/>
    </row>
    <row r="1331" spans="1:6" ht="34.5" thickBot="1">
      <c r="A1331" s="1" t="s">
        <v>0</v>
      </c>
      <c r="B1331" s="1" t="s">
        <v>1</v>
      </c>
      <c r="C1331" s="1" t="s">
        <v>2</v>
      </c>
      <c r="D1331" s="1" t="s">
        <v>3</v>
      </c>
      <c r="E1331" s="1" t="s">
        <v>4</v>
      </c>
      <c r="F1331" s="1" t="s">
        <v>5</v>
      </c>
    </row>
    <row r="1332" spans="1:6" ht="15.75" thickBot="1">
      <c r="A1332" s="2" t="s">
        <v>264</v>
      </c>
      <c r="B1332" s="2" t="s">
        <v>265</v>
      </c>
      <c r="C1332" s="2" t="s">
        <v>8</v>
      </c>
      <c r="D1332" s="2" t="s">
        <v>53</v>
      </c>
      <c r="E1332" s="2" t="s">
        <v>63</v>
      </c>
      <c r="F1332" s="2"/>
    </row>
    <row r="1333" spans="1:6" ht="15.75" thickBot="1">
      <c r="A1333" s="3" t="s">
        <v>11</v>
      </c>
      <c r="B1333" s="4" t="s">
        <v>12</v>
      </c>
      <c r="C1333" s="5">
        <v>43419</v>
      </c>
      <c r="D1333" s="3" t="s">
        <v>13</v>
      </c>
      <c r="E1333" s="4" t="s">
        <v>14</v>
      </c>
      <c r="F1333" s="2"/>
    </row>
    <row r="1334" spans="1:6" ht="15.75" thickBot="1">
      <c r="A1334" s="6"/>
      <c r="B1334" s="4" t="s">
        <v>15</v>
      </c>
      <c r="C1334" s="7">
        <f>IF(C1333="","",IF(AND(MONTH(C1333)&gt;=1,MONTH(C1333)&lt;=3),1,IF(AND(MONTH(C1333)&gt;=4,MONTH(C1333)&lt;=6),2,IF(AND(MONTH(C1333)&gt;=7,MONTH(C1333)&lt;=9),3,4))))</f>
        <v>4</v>
      </c>
      <c r="D1334" s="6"/>
      <c r="E1334" s="4" t="s">
        <v>16</v>
      </c>
      <c r="F1334" s="2"/>
    </row>
    <row r="1335" spans="1:6" ht="15.75" thickBot="1">
      <c r="A1335" s="6"/>
      <c r="B1335" s="4" t="s">
        <v>17</v>
      </c>
      <c r="C1335" s="5">
        <v>43433</v>
      </c>
      <c r="D1335" s="6"/>
      <c r="E1335" s="4" t="s">
        <v>18</v>
      </c>
      <c r="F1335" s="2"/>
    </row>
    <row r="1336" spans="1:6" ht="15.75" thickBot="1">
      <c r="A1336" s="6"/>
      <c r="B1336" s="4" t="s">
        <v>15</v>
      </c>
      <c r="C1336" s="7">
        <f>IF(C1335="","",IF(AND(MONTH(C1335)&gt;=1,MONTH(C1335)&lt;=3),1,IF(AND(MONTH(C1335)&gt;=4,MONTH(C1335)&lt;=6),2,IF(AND(MONTH(C1335)&gt;=7,MONTH(C1335)&lt;=9),3,4))))</f>
        <v>4</v>
      </c>
      <c r="D1336" s="6"/>
      <c r="E1336" s="4" t="s">
        <v>19</v>
      </c>
      <c r="F1336" s="2"/>
    </row>
    <row r="1337" spans="1:6" ht="15.75" thickBot="1">
      <c r="A1337" s="50"/>
      <c r="B1337" s="50"/>
      <c r="C1337" s="50"/>
      <c r="D1337" s="50"/>
      <c r="E1337" s="50"/>
      <c r="F1337" s="50"/>
    </row>
    <row r="1338" spans="1:6" ht="15.75" thickBot="1">
      <c r="A1338" s="41" t="s">
        <v>43</v>
      </c>
      <c r="B1338" s="41" t="s">
        <v>44</v>
      </c>
      <c r="C1338" s="41" t="s">
        <v>45</v>
      </c>
      <c r="D1338" s="41" t="s">
        <v>46</v>
      </c>
      <c r="E1338" s="41" t="s">
        <v>47</v>
      </c>
      <c r="F1338" s="41" t="s">
        <v>48</v>
      </c>
    </row>
    <row r="1339" spans="1:6" ht="45">
      <c r="A1339" s="42">
        <v>72102802</v>
      </c>
      <c r="B1339" s="43" t="str">
        <f ca="1">IFERROR(INDEX(UNSPSCDes,MATCH(INDIRECT(ADDRESS(ROW(),COLUMN()-1,4)),UNSPSCCode,0)),"")</f>
        <v>Restauración de edificios, mojones o monumentos</v>
      </c>
      <c r="C1339" s="42" t="s">
        <v>252</v>
      </c>
      <c r="D1339" s="42">
        <v>1</v>
      </c>
      <c r="E1339" s="45">
        <v>700000</v>
      </c>
      <c r="F1339" s="46">
        <f ca="1">INDIRECT(ADDRESS(ROW(),COLUMN()-2,4))*INDIRECT(ADDRESS(ROW(),COLUMN()-1,4))</f>
        <v>700000</v>
      </c>
    </row>
    <row r="1340" spans="1:6">
      <c r="A1340" s="50"/>
      <c r="B1340" s="50"/>
      <c r="C1340" s="50"/>
      <c r="D1340" s="50"/>
      <c r="E1340" s="51" t="s">
        <v>50</v>
      </c>
      <c r="F1340" s="48">
        <f ca="1">SUM(Table3109[MONTO TOTAL ESTIMADO])</f>
        <v>700000</v>
      </c>
    </row>
    <row r="1341" spans="1:6" ht="17.25" thickBot="1">
      <c r="A1341" s="36"/>
      <c r="B1341" s="36"/>
      <c r="C1341" s="36"/>
      <c r="D1341" s="36"/>
      <c r="E1341" s="36"/>
      <c r="F1341" s="36"/>
    </row>
    <row r="1342" spans="1:6" ht="34.5" thickBot="1">
      <c r="A1342" s="1" t="s">
        <v>0</v>
      </c>
      <c r="B1342" s="1" t="s">
        <v>1</v>
      </c>
      <c r="C1342" s="1" t="s">
        <v>2</v>
      </c>
      <c r="D1342" s="1" t="s">
        <v>3</v>
      </c>
      <c r="E1342" s="1" t="s">
        <v>4</v>
      </c>
      <c r="F1342" s="1" t="s">
        <v>5</v>
      </c>
    </row>
    <row r="1343" spans="1:6" ht="15.75" thickBot="1">
      <c r="A1343" s="2" t="s">
        <v>266</v>
      </c>
      <c r="B1343" s="2" t="s">
        <v>267</v>
      </c>
      <c r="C1343" s="2" t="s">
        <v>40</v>
      </c>
      <c r="D1343" s="2" t="s">
        <v>80</v>
      </c>
      <c r="E1343" s="2" t="s">
        <v>42</v>
      </c>
      <c r="F1343" s="2"/>
    </row>
    <row r="1344" spans="1:6" ht="15.75" thickBot="1">
      <c r="A1344" s="3" t="s">
        <v>11</v>
      </c>
      <c r="B1344" s="4" t="s">
        <v>12</v>
      </c>
      <c r="C1344" s="5">
        <v>43315</v>
      </c>
      <c r="D1344" s="3" t="s">
        <v>13</v>
      </c>
      <c r="E1344" s="4" t="s">
        <v>14</v>
      </c>
      <c r="F1344" s="2"/>
    </row>
    <row r="1345" spans="1:6" ht="15.75" thickBot="1">
      <c r="A1345" s="6"/>
      <c r="B1345" s="4" t="s">
        <v>15</v>
      </c>
      <c r="C1345" s="7">
        <f>IF(C1344="","",IF(AND(MONTH(C1344)&gt;=1,MONTH(C1344)&lt;=3),1,IF(AND(MONTH(C1344)&gt;=4,MONTH(C1344)&lt;=6),2,IF(AND(MONTH(C1344)&gt;=7,MONTH(C1344)&lt;=9),3,4))))</f>
        <v>3</v>
      </c>
      <c r="D1345" s="6"/>
      <c r="E1345" s="4" t="s">
        <v>16</v>
      </c>
      <c r="F1345" s="2"/>
    </row>
    <row r="1346" spans="1:6" ht="15.75" thickBot="1">
      <c r="A1346" s="6"/>
      <c r="B1346" s="4" t="s">
        <v>17</v>
      </c>
      <c r="C1346" s="5">
        <v>43327</v>
      </c>
      <c r="D1346" s="6"/>
      <c r="E1346" s="4" t="s">
        <v>18</v>
      </c>
      <c r="F1346" s="2"/>
    </row>
    <row r="1347" spans="1:6" ht="15.75" thickBot="1">
      <c r="A1347" s="6"/>
      <c r="B1347" s="4" t="s">
        <v>15</v>
      </c>
      <c r="C1347" s="7">
        <f>IF(C1346="","",IF(AND(MONTH(C1346)&gt;=1,MONTH(C1346)&lt;=3),1,IF(AND(MONTH(C1346)&gt;=4,MONTH(C1346)&lt;=6),2,IF(AND(MONTH(C1346)&gt;=7,MONTH(C1346)&lt;=9),3,4))))</f>
        <v>3</v>
      </c>
      <c r="D1347" s="6"/>
      <c r="E1347" s="4" t="s">
        <v>19</v>
      </c>
      <c r="F1347" s="2"/>
    </row>
    <row r="1348" spans="1:6" ht="15.75" thickBot="1">
      <c r="A1348" s="50"/>
      <c r="B1348" s="50"/>
      <c r="C1348" s="50"/>
      <c r="D1348" s="50"/>
      <c r="E1348" s="50"/>
      <c r="F1348" s="50"/>
    </row>
    <row r="1349" spans="1:6" ht="15.75" thickBot="1">
      <c r="A1349" s="41" t="s">
        <v>43</v>
      </c>
      <c r="B1349" s="41" t="s">
        <v>44</v>
      </c>
      <c r="C1349" s="41" t="s">
        <v>45</v>
      </c>
      <c r="D1349" s="41" t="s">
        <v>46</v>
      </c>
      <c r="E1349" s="41" t="s">
        <v>47</v>
      </c>
      <c r="F1349" s="41" t="s">
        <v>48</v>
      </c>
    </row>
    <row r="1350" spans="1:6" ht="22.5">
      <c r="A1350" s="42">
        <v>82121503</v>
      </c>
      <c r="B1350" s="43" t="str">
        <f ca="1">IFERROR(INDEX(UNSPSCDes,MATCH(INDIRECT(ADDRESS(ROW(),COLUMN()-1,4)),UNSPSCCode,0)),"")</f>
        <v>Impresión digital</v>
      </c>
      <c r="C1350" s="42" t="s">
        <v>252</v>
      </c>
      <c r="D1350" s="42">
        <v>3000</v>
      </c>
      <c r="E1350" s="45">
        <v>510</v>
      </c>
      <c r="F1350" s="46">
        <f ca="1">INDIRECT(ADDRESS(ROW(),COLUMN()-2,4))*INDIRECT(ADDRESS(ROW(),COLUMN()-1,4))</f>
        <v>1530000</v>
      </c>
    </row>
    <row r="1351" spans="1:6" ht="22.5">
      <c r="A1351" s="42">
        <v>82121503</v>
      </c>
      <c r="B1351" s="43" t="str">
        <f ca="1">IFERROR(INDEX(UNSPSCDes,MATCH(INDIRECT(ADDRESS(ROW(),COLUMN()-1,4)),UNSPSCCode,0)),"")</f>
        <v>Impresión digital</v>
      </c>
      <c r="C1351" s="42" t="s">
        <v>252</v>
      </c>
      <c r="D1351" s="42">
        <v>750</v>
      </c>
      <c r="E1351" s="45">
        <v>477.33</v>
      </c>
      <c r="F1351" s="46">
        <f ca="1">INDIRECT(ADDRESS(ROW(),COLUMN()-2,4))*INDIRECT(ADDRESS(ROW(),COLUMN()-1,4))</f>
        <v>357997.5</v>
      </c>
    </row>
    <row r="1352" spans="1:6">
      <c r="A1352" s="50"/>
      <c r="B1352" s="50"/>
      <c r="C1352" s="50"/>
      <c r="D1352" s="50"/>
      <c r="E1352" s="51" t="s">
        <v>50</v>
      </c>
      <c r="F1352" s="48">
        <f ca="1">SUM(Table3110[MONTO TOTAL ESTIMADO])</f>
        <v>1887997.5</v>
      </c>
    </row>
    <row r="1353" spans="1:6" ht="17.25" thickBot="1">
      <c r="A1353" s="36"/>
      <c r="B1353" s="36"/>
      <c r="C1353" s="36"/>
      <c r="D1353" s="36"/>
      <c r="E1353" s="36"/>
      <c r="F1353" s="36"/>
    </row>
    <row r="1354" spans="1:6" ht="34.5" thickBot="1">
      <c r="A1354" s="1" t="s">
        <v>0</v>
      </c>
      <c r="B1354" s="1" t="s">
        <v>1</v>
      </c>
      <c r="C1354" s="1" t="s">
        <v>2</v>
      </c>
      <c r="D1354" s="1" t="s">
        <v>3</v>
      </c>
      <c r="E1354" s="1" t="s">
        <v>4</v>
      </c>
      <c r="F1354" s="1" t="s">
        <v>5</v>
      </c>
    </row>
    <row r="1355" spans="1:6" ht="15.75" thickBot="1">
      <c r="A1355" s="2" t="s">
        <v>266</v>
      </c>
      <c r="B1355" s="2" t="s">
        <v>268</v>
      </c>
      <c r="C1355" s="2" t="s">
        <v>40</v>
      </c>
      <c r="D1355" s="2" t="s">
        <v>80</v>
      </c>
      <c r="E1355" s="2" t="s">
        <v>42</v>
      </c>
      <c r="F1355" s="2"/>
    </row>
    <row r="1356" spans="1:6" ht="15.75" thickBot="1">
      <c r="A1356" s="3" t="s">
        <v>11</v>
      </c>
      <c r="B1356" s="4" t="s">
        <v>12</v>
      </c>
      <c r="C1356" s="5">
        <v>43407</v>
      </c>
      <c r="D1356" s="3" t="s">
        <v>13</v>
      </c>
      <c r="E1356" s="4" t="s">
        <v>14</v>
      </c>
      <c r="F1356" s="2"/>
    </row>
    <row r="1357" spans="1:6" ht="15.75" thickBot="1">
      <c r="A1357" s="6"/>
      <c r="B1357" s="4" t="s">
        <v>15</v>
      </c>
      <c r="C1357" s="7">
        <f>IF(C1356="","",IF(AND(MONTH(C1356)&gt;=1,MONTH(C1356)&lt;=3),1,IF(AND(MONTH(C1356)&gt;=4,MONTH(C1356)&lt;=6),2,IF(AND(MONTH(C1356)&gt;=7,MONTH(C1356)&lt;=9),3,4))))</f>
        <v>4</v>
      </c>
      <c r="D1357" s="6"/>
      <c r="E1357" s="4" t="s">
        <v>16</v>
      </c>
      <c r="F1357" s="2"/>
    </row>
    <row r="1358" spans="1:6" ht="15.75" thickBot="1">
      <c r="A1358" s="6"/>
      <c r="B1358" s="4" t="s">
        <v>17</v>
      </c>
      <c r="C1358" s="5">
        <v>43432</v>
      </c>
      <c r="D1358" s="6"/>
      <c r="E1358" s="4" t="s">
        <v>18</v>
      </c>
      <c r="F1358" s="2"/>
    </row>
    <row r="1359" spans="1:6" ht="15.75" thickBot="1">
      <c r="A1359" s="6"/>
      <c r="B1359" s="4" t="s">
        <v>15</v>
      </c>
      <c r="C1359" s="7">
        <f>IF(C1358="","",IF(AND(MONTH(C1358)&gt;=1,MONTH(C1358)&lt;=3),1,IF(AND(MONTH(C1358)&gt;=4,MONTH(C1358)&lt;=6),2,IF(AND(MONTH(C1358)&gt;=7,MONTH(C1358)&lt;=9),3,4))))</f>
        <v>4</v>
      </c>
      <c r="D1359" s="6"/>
      <c r="E1359" s="4" t="s">
        <v>19</v>
      </c>
      <c r="F1359" s="2"/>
    </row>
    <row r="1360" spans="1:6" ht="15.75" thickBot="1">
      <c r="A1360" s="50"/>
      <c r="B1360" s="50"/>
      <c r="C1360" s="50"/>
      <c r="D1360" s="50"/>
      <c r="E1360" s="50"/>
      <c r="F1360" s="50"/>
    </row>
    <row r="1361" spans="1:6" ht="15.75" thickBot="1">
      <c r="A1361" s="41" t="s">
        <v>43</v>
      </c>
      <c r="B1361" s="41" t="s">
        <v>44</v>
      </c>
      <c r="C1361" s="41" t="s">
        <v>45</v>
      </c>
      <c r="D1361" s="41" t="s">
        <v>46</v>
      </c>
      <c r="E1361" s="41" t="s">
        <v>47</v>
      </c>
      <c r="F1361" s="41" t="s">
        <v>48</v>
      </c>
    </row>
    <row r="1362" spans="1:6" ht="22.5">
      <c r="A1362" s="42">
        <v>82121503</v>
      </c>
      <c r="B1362" s="43" t="str">
        <f ca="1">IFERROR(INDEX(UNSPSCDes,MATCH(INDIRECT(ADDRESS(ROW(),COLUMN()-1,4)),UNSPSCCode,0)),"")</f>
        <v>Impresión digital</v>
      </c>
      <c r="C1362" s="42" t="s">
        <v>252</v>
      </c>
      <c r="D1362" s="42">
        <v>6000</v>
      </c>
      <c r="E1362" s="45">
        <v>400</v>
      </c>
      <c r="F1362" s="46">
        <f ca="1">INDIRECT(ADDRESS(ROW(),COLUMN()-2,4))*INDIRECT(ADDRESS(ROW(),COLUMN()-1,4))</f>
        <v>2400000</v>
      </c>
    </row>
    <row r="1363" spans="1:6">
      <c r="A1363" s="50"/>
      <c r="B1363" s="50"/>
      <c r="C1363" s="50"/>
      <c r="D1363" s="50"/>
      <c r="E1363" s="51" t="s">
        <v>50</v>
      </c>
      <c r="F1363" s="48">
        <f ca="1">SUM(Table3111[MONTO TOTAL ESTIMADO])</f>
        <v>2400000</v>
      </c>
    </row>
    <row r="1364" spans="1:6" ht="17.25" thickBot="1">
      <c r="A1364" s="36"/>
      <c r="B1364" s="36"/>
      <c r="C1364" s="36"/>
      <c r="D1364" s="36"/>
      <c r="E1364" s="36"/>
      <c r="F1364" s="36"/>
    </row>
    <row r="1365" spans="1:6" ht="34.5" thickBot="1">
      <c r="A1365" s="1" t="s">
        <v>0</v>
      </c>
      <c r="B1365" s="1" t="s">
        <v>1</v>
      </c>
      <c r="C1365" s="1" t="s">
        <v>2</v>
      </c>
      <c r="D1365" s="1" t="s">
        <v>3</v>
      </c>
      <c r="E1365" s="1" t="s">
        <v>4</v>
      </c>
      <c r="F1365" s="1" t="s">
        <v>5</v>
      </c>
    </row>
    <row r="1366" spans="1:6" ht="15.75" thickBot="1">
      <c r="A1366" s="2" t="s">
        <v>269</v>
      </c>
      <c r="B1366" s="2" t="s">
        <v>270</v>
      </c>
      <c r="C1366" s="2" t="s">
        <v>40</v>
      </c>
      <c r="D1366" s="2" t="s">
        <v>80</v>
      </c>
      <c r="E1366" s="2" t="s">
        <v>42</v>
      </c>
      <c r="F1366" s="2"/>
    </row>
    <row r="1367" spans="1:6" ht="15.75" thickBot="1">
      <c r="A1367" s="3" t="s">
        <v>11</v>
      </c>
      <c r="B1367" s="4" t="s">
        <v>12</v>
      </c>
      <c r="C1367" s="5">
        <v>43435</v>
      </c>
      <c r="D1367" s="3" t="s">
        <v>13</v>
      </c>
      <c r="E1367" s="4" t="s">
        <v>14</v>
      </c>
      <c r="F1367" s="2"/>
    </row>
    <row r="1368" spans="1:6" ht="15.75" thickBot="1">
      <c r="A1368" s="6"/>
      <c r="B1368" s="4" t="s">
        <v>15</v>
      </c>
      <c r="C1368" s="7">
        <f>IF(C1367="","",IF(AND(MONTH(C1367)&gt;=1,MONTH(C1367)&lt;=3),1,IF(AND(MONTH(C1367)&gt;=4,MONTH(C1367)&lt;=6),2,IF(AND(MONTH(C1367)&gt;=7,MONTH(C1367)&lt;=9),3,4))))</f>
        <v>4</v>
      </c>
      <c r="D1368" s="6"/>
      <c r="E1368" s="4" t="s">
        <v>16</v>
      </c>
      <c r="F1368" s="2"/>
    </row>
    <row r="1369" spans="1:6" ht="15.75" thickBot="1">
      <c r="A1369" s="6"/>
      <c r="B1369" s="4" t="s">
        <v>17</v>
      </c>
      <c r="C1369" s="5">
        <v>43444</v>
      </c>
      <c r="D1369" s="6"/>
      <c r="E1369" s="4" t="s">
        <v>18</v>
      </c>
      <c r="F1369" s="2"/>
    </row>
    <row r="1370" spans="1:6" ht="15.75" thickBot="1">
      <c r="A1370" s="6"/>
      <c r="B1370" s="4" t="s">
        <v>15</v>
      </c>
      <c r="C1370" s="7">
        <f>IF(C1369="","",IF(AND(MONTH(C1369)&gt;=1,MONTH(C1369)&lt;=3),1,IF(AND(MONTH(C1369)&gt;=4,MONTH(C1369)&lt;=6),2,IF(AND(MONTH(C1369)&gt;=7,MONTH(C1369)&lt;=9),3,4))))</f>
        <v>4</v>
      </c>
      <c r="D1370" s="6"/>
      <c r="E1370" s="4" t="s">
        <v>19</v>
      </c>
      <c r="F1370" s="2"/>
    </row>
    <row r="1371" spans="1:6" ht="15.75" thickBot="1">
      <c r="A1371" s="50"/>
      <c r="B1371" s="50"/>
      <c r="C1371" s="50"/>
      <c r="D1371" s="50"/>
      <c r="E1371" s="50"/>
      <c r="F1371" s="50"/>
    </row>
    <row r="1372" spans="1:6" ht="15.75" thickBot="1">
      <c r="A1372" s="41" t="s">
        <v>43</v>
      </c>
      <c r="B1372" s="41" t="s">
        <v>44</v>
      </c>
      <c r="C1372" s="41" t="s">
        <v>45</v>
      </c>
      <c r="D1372" s="41" t="s">
        <v>46</v>
      </c>
      <c r="E1372" s="41" t="s">
        <v>47</v>
      </c>
      <c r="F1372" s="41" t="s">
        <v>48</v>
      </c>
    </row>
    <row r="1373" spans="1:6" ht="22.5">
      <c r="A1373" s="42">
        <v>14111608</v>
      </c>
      <c r="B1373" s="43" t="str">
        <f ca="1">IFERROR(INDEX(UNSPSCDes,MATCH(INDIRECT(ADDRESS(ROW(),COLUMN()-1,4)),UNSPSCCode,0)),"")</f>
        <v>Certificados de regalo</v>
      </c>
      <c r="C1373" s="42" t="s">
        <v>252</v>
      </c>
      <c r="D1373" s="42">
        <v>3418</v>
      </c>
      <c r="E1373" s="45">
        <v>1000</v>
      </c>
      <c r="F1373" s="46">
        <f ca="1">INDIRECT(ADDRESS(ROW(),COLUMN()-2,4))*INDIRECT(ADDRESS(ROW(),COLUMN()-1,4))</f>
        <v>3418000</v>
      </c>
    </row>
    <row r="1374" spans="1:6">
      <c r="A1374" s="50"/>
      <c r="B1374" s="50"/>
      <c r="C1374" s="50"/>
      <c r="D1374" s="50"/>
      <c r="E1374" s="51" t="s">
        <v>50</v>
      </c>
      <c r="F1374" s="48">
        <f ca="1">SUM(Table3112[MONTO TOTAL ESTIMADO])</f>
        <v>3418000</v>
      </c>
    </row>
    <row r="1375" spans="1:6" ht="17.25" thickBot="1">
      <c r="A1375" s="36"/>
      <c r="B1375" s="36"/>
      <c r="C1375" s="36"/>
      <c r="D1375" s="36"/>
      <c r="E1375" s="36"/>
      <c r="F1375" s="36"/>
    </row>
    <row r="1376" spans="1:6" ht="34.5" thickBot="1">
      <c r="A1376" s="1" t="s">
        <v>0</v>
      </c>
      <c r="B1376" s="1" t="s">
        <v>1</v>
      </c>
      <c r="C1376" s="1" t="s">
        <v>2</v>
      </c>
      <c r="D1376" s="1" t="s">
        <v>3</v>
      </c>
      <c r="E1376" s="1" t="s">
        <v>4</v>
      </c>
      <c r="F1376" s="1" t="s">
        <v>5</v>
      </c>
    </row>
    <row r="1377" spans="1:6" ht="15.75" thickBot="1">
      <c r="A1377" s="2" t="s">
        <v>271</v>
      </c>
      <c r="B1377" s="2" t="s">
        <v>272</v>
      </c>
      <c r="C1377" s="2" t="s">
        <v>8</v>
      </c>
      <c r="D1377" s="2" t="s">
        <v>80</v>
      </c>
      <c r="E1377" s="2" t="s">
        <v>42</v>
      </c>
      <c r="F1377" s="2"/>
    </row>
    <row r="1378" spans="1:6" ht="15.75" thickBot="1">
      <c r="A1378" s="3" t="s">
        <v>11</v>
      </c>
      <c r="B1378" s="4" t="s">
        <v>12</v>
      </c>
      <c r="C1378" s="5">
        <v>43444</v>
      </c>
      <c r="D1378" s="3" t="s">
        <v>13</v>
      </c>
      <c r="E1378" s="4" t="s">
        <v>14</v>
      </c>
      <c r="F1378" s="2"/>
    </row>
    <row r="1379" spans="1:6" ht="15.75" thickBot="1">
      <c r="A1379" s="6"/>
      <c r="B1379" s="4" t="s">
        <v>15</v>
      </c>
      <c r="C1379" s="7">
        <f>IF(C1378="","",IF(AND(MONTH(C1378)&gt;=1,MONTH(C1378)&lt;=3),1,IF(AND(MONTH(C1378)&gt;=4,MONTH(C1378)&lt;=6),2,IF(AND(MONTH(C1378)&gt;=7,MONTH(C1378)&lt;=9),3,4))))</f>
        <v>4</v>
      </c>
      <c r="D1379" s="6"/>
      <c r="E1379" s="4" t="s">
        <v>16</v>
      </c>
      <c r="F1379" s="2"/>
    </row>
    <row r="1380" spans="1:6" ht="15.75" thickBot="1">
      <c r="A1380" s="6"/>
      <c r="B1380" s="4" t="s">
        <v>17</v>
      </c>
      <c r="C1380" s="5">
        <v>43449</v>
      </c>
      <c r="D1380" s="6"/>
      <c r="E1380" s="4" t="s">
        <v>18</v>
      </c>
      <c r="F1380" s="2"/>
    </row>
    <row r="1381" spans="1:6" ht="15.75" thickBot="1">
      <c r="A1381" s="6"/>
      <c r="B1381" s="4" t="s">
        <v>15</v>
      </c>
      <c r="C1381" s="7">
        <f>IF(C1380="","",IF(AND(MONTH(C1380)&gt;=1,MONTH(C1380)&lt;=3),1,IF(AND(MONTH(C1380)&gt;=4,MONTH(C1380)&lt;=6),2,IF(AND(MONTH(C1380)&gt;=7,MONTH(C1380)&lt;=9),3,4))))</f>
        <v>4</v>
      </c>
      <c r="D1381" s="6"/>
      <c r="E1381" s="4" t="s">
        <v>19</v>
      </c>
      <c r="F1381" s="2"/>
    </row>
    <row r="1382" spans="1:6" ht="15.75" thickBot="1">
      <c r="A1382" s="50"/>
      <c r="B1382" s="50"/>
      <c r="C1382" s="50"/>
      <c r="D1382" s="50"/>
      <c r="E1382" s="50"/>
      <c r="F1382" s="50"/>
    </row>
    <row r="1383" spans="1:6" ht="15.75" thickBot="1">
      <c r="A1383" s="41" t="s">
        <v>43</v>
      </c>
      <c r="B1383" s="41" t="s">
        <v>44</v>
      </c>
      <c r="C1383" s="41" t="s">
        <v>45</v>
      </c>
      <c r="D1383" s="41" t="s">
        <v>46</v>
      </c>
      <c r="E1383" s="41" t="s">
        <v>47</v>
      </c>
      <c r="F1383" s="41" t="s">
        <v>48</v>
      </c>
    </row>
    <row r="1384" spans="1:6" ht="22.5">
      <c r="A1384" s="42">
        <v>90101603</v>
      </c>
      <c r="B1384" s="43" t="str">
        <f ca="1">IFERROR(INDEX(UNSPSCDes,MATCH(INDIRECT(ADDRESS(ROW(),COLUMN()-1,4)),UNSPSCCode,0)),"")</f>
        <v>Servicios de cáterin</v>
      </c>
      <c r="C1384" s="42" t="s">
        <v>252</v>
      </c>
      <c r="D1384" s="42">
        <v>1</v>
      </c>
      <c r="E1384" s="45">
        <v>3000000</v>
      </c>
      <c r="F1384" s="46">
        <f ca="1">INDIRECT(ADDRESS(ROW(),COLUMN()-2,4))*INDIRECT(ADDRESS(ROW(),COLUMN()-1,4))</f>
        <v>3000000</v>
      </c>
    </row>
    <row r="1385" spans="1:6">
      <c r="A1385" s="50"/>
      <c r="B1385" s="50"/>
      <c r="C1385" s="50"/>
      <c r="D1385" s="50"/>
      <c r="E1385" s="51" t="s">
        <v>50</v>
      </c>
      <c r="F1385" s="48">
        <f ca="1">SUM(Table3113[MONTO TOTAL ESTIMADO])</f>
        <v>3000000</v>
      </c>
    </row>
    <row r="1386" spans="1:6" ht="17.25" thickBot="1">
      <c r="A1386" s="36"/>
      <c r="B1386" s="36"/>
      <c r="C1386" s="36"/>
      <c r="D1386" s="36"/>
      <c r="E1386" s="36"/>
      <c r="F1386" s="36"/>
    </row>
    <row r="1387" spans="1:6" ht="34.5" thickBot="1">
      <c r="A1387" s="1" t="s">
        <v>0</v>
      </c>
      <c r="B1387" s="1" t="s">
        <v>1</v>
      </c>
      <c r="C1387" s="1" t="s">
        <v>2</v>
      </c>
      <c r="D1387" s="1" t="s">
        <v>3</v>
      </c>
      <c r="E1387" s="1" t="s">
        <v>4</v>
      </c>
      <c r="F1387" s="1" t="s">
        <v>5</v>
      </c>
    </row>
    <row r="1388" spans="1:6" ht="15.75" thickBot="1">
      <c r="A1388" s="2" t="s">
        <v>193</v>
      </c>
      <c r="B1388" s="2" t="s">
        <v>273</v>
      </c>
      <c r="C1388" s="2" t="s">
        <v>40</v>
      </c>
      <c r="D1388" s="2" t="s">
        <v>53</v>
      </c>
      <c r="E1388" s="2" t="s">
        <v>63</v>
      </c>
      <c r="F1388" s="2"/>
    </row>
    <row r="1389" spans="1:6" ht="15.75" thickBot="1">
      <c r="A1389" s="3" t="s">
        <v>11</v>
      </c>
      <c r="B1389" s="4" t="s">
        <v>12</v>
      </c>
      <c r="C1389" s="5">
        <v>43313</v>
      </c>
      <c r="D1389" s="3" t="s">
        <v>13</v>
      </c>
      <c r="E1389" s="4" t="s">
        <v>14</v>
      </c>
      <c r="F1389" s="2"/>
    </row>
    <row r="1390" spans="1:6" ht="15.75" thickBot="1">
      <c r="A1390" s="6"/>
      <c r="B1390" s="4" t="s">
        <v>15</v>
      </c>
      <c r="C1390" s="7">
        <f>IF(C1389="","",IF(AND(MONTH(C1389)&gt;=1,MONTH(C1389)&lt;=3),1,IF(AND(MONTH(C1389)&gt;=4,MONTH(C1389)&lt;=6),2,IF(AND(MONTH(C1389)&gt;=7,MONTH(C1389)&lt;=9),3,4))))</f>
        <v>3</v>
      </c>
      <c r="D1390" s="6"/>
      <c r="E1390" s="4" t="s">
        <v>16</v>
      </c>
      <c r="F1390" s="2"/>
    </row>
    <row r="1391" spans="1:6" ht="15.75" thickBot="1">
      <c r="A1391" s="6"/>
      <c r="B1391" s="4" t="s">
        <v>17</v>
      </c>
      <c r="C1391" s="5">
        <v>43327</v>
      </c>
      <c r="D1391" s="6"/>
      <c r="E1391" s="4" t="s">
        <v>18</v>
      </c>
      <c r="F1391" s="2"/>
    </row>
    <row r="1392" spans="1:6" ht="15.75" thickBot="1">
      <c r="A1392" s="6"/>
      <c r="B1392" s="4" t="s">
        <v>15</v>
      </c>
      <c r="C1392" s="7">
        <f>IF(C1391="","",IF(AND(MONTH(C1391)&gt;=1,MONTH(C1391)&lt;=3),1,IF(AND(MONTH(C1391)&gt;=4,MONTH(C1391)&lt;=6),2,IF(AND(MONTH(C1391)&gt;=7,MONTH(C1391)&lt;=9),3,4))))</f>
        <v>3</v>
      </c>
      <c r="D1392" s="6"/>
      <c r="E1392" s="4" t="s">
        <v>19</v>
      </c>
      <c r="F1392" s="2"/>
    </row>
    <row r="1393" spans="1:6" ht="15.75" thickBot="1">
      <c r="A1393" s="50"/>
      <c r="B1393" s="50"/>
      <c r="C1393" s="50"/>
      <c r="D1393" s="50"/>
      <c r="E1393" s="50"/>
      <c r="F1393" s="50"/>
    </row>
    <row r="1394" spans="1:6" ht="15.75" thickBot="1">
      <c r="A1394" s="41" t="s">
        <v>43</v>
      </c>
      <c r="B1394" s="41" t="s">
        <v>44</v>
      </c>
      <c r="C1394" s="41" t="s">
        <v>45</v>
      </c>
      <c r="D1394" s="41" t="s">
        <v>46</v>
      </c>
      <c r="E1394" s="41" t="s">
        <v>47</v>
      </c>
      <c r="F1394" s="41" t="s">
        <v>48</v>
      </c>
    </row>
    <row r="1395" spans="1:6" ht="33.75">
      <c r="A1395" s="42">
        <v>14111507</v>
      </c>
      <c r="B1395" s="43" t="str">
        <f t="shared" ref="B1395:B1410" ca="1" si="13">IFERROR(INDEX(UNSPSCDes,MATCH(INDIRECT(ADDRESS(ROW(),COLUMN()-1,4)),UNSPSCCode,0)),"")</f>
        <v>Papel para impresora o fotocopiadora</v>
      </c>
      <c r="C1395" s="42" t="s">
        <v>274</v>
      </c>
      <c r="D1395" s="42">
        <v>300</v>
      </c>
      <c r="E1395" s="45">
        <v>167.25</v>
      </c>
      <c r="F1395" s="46">
        <f t="shared" ref="F1395:F1410" ca="1" si="14">INDIRECT(ADDRESS(ROW(),COLUMN()-2,4))*INDIRECT(ADDRESS(ROW(),COLUMN()-1,4))</f>
        <v>50175</v>
      </c>
    </row>
    <row r="1396" spans="1:6" ht="22.5">
      <c r="A1396" s="42">
        <v>44101801</v>
      </c>
      <c r="B1396" s="43" t="str">
        <f t="shared" ca="1" si="13"/>
        <v>Calculadoras o accesorios</v>
      </c>
      <c r="C1396" s="42" t="s">
        <v>252</v>
      </c>
      <c r="D1396" s="42">
        <v>6</v>
      </c>
      <c r="E1396" s="45">
        <v>4030</v>
      </c>
      <c r="F1396" s="46">
        <f t="shared" ca="1" si="14"/>
        <v>24180</v>
      </c>
    </row>
    <row r="1397" spans="1:6" ht="22.5">
      <c r="A1397" s="42">
        <v>44121506</v>
      </c>
      <c r="B1397" s="43" t="str">
        <f t="shared" ca="1" si="13"/>
        <v>Sobres estándar</v>
      </c>
      <c r="C1397" s="42" t="s">
        <v>275</v>
      </c>
      <c r="D1397" s="42">
        <v>27</v>
      </c>
      <c r="E1397" s="45">
        <v>407.6</v>
      </c>
      <c r="F1397" s="46">
        <f t="shared" ca="1" si="14"/>
        <v>11005.2</v>
      </c>
    </row>
    <row r="1398" spans="1:6" ht="33.75">
      <c r="A1398" s="42">
        <v>44112001</v>
      </c>
      <c r="B1398" s="43" t="str">
        <f t="shared" ca="1" si="13"/>
        <v>Libretas de direcciones o repuestos</v>
      </c>
      <c r="C1398" s="42" t="s">
        <v>252</v>
      </c>
      <c r="D1398" s="42">
        <v>400</v>
      </c>
      <c r="E1398" s="45">
        <v>25</v>
      </c>
      <c r="F1398" s="46">
        <f t="shared" ca="1" si="14"/>
        <v>10000</v>
      </c>
    </row>
    <row r="1399" spans="1:6" ht="22.5">
      <c r="A1399" s="42">
        <v>60104509</v>
      </c>
      <c r="B1399" s="43" t="str">
        <f t="shared" ca="1" si="13"/>
        <v>Pilas de combustible</v>
      </c>
      <c r="C1399" s="42" t="s">
        <v>252</v>
      </c>
      <c r="D1399" s="42">
        <v>150</v>
      </c>
      <c r="E1399" s="45">
        <v>180</v>
      </c>
      <c r="F1399" s="46">
        <f t="shared" ca="1" si="14"/>
        <v>27000</v>
      </c>
    </row>
    <row r="1400" spans="1:6">
      <c r="A1400" s="42">
        <v>44121701</v>
      </c>
      <c r="B1400" s="43" t="str">
        <f t="shared" ca="1" si="13"/>
        <v>Bolígrafos</v>
      </c>
      <c r="C1400" s="42" t="s">
        <v>275</v>
      </c>
      <c r="D1400" s="42">
        <v>60</v>
      </c>
      <c r="E1400" s="45">
        <v>60</v>
      </c>
      <c r="F1400" s="46">
        <f t="shared" ca="1" si="14"/>
        <v>3600</v>
      </c>
    </row>
    <row r="1401" spans="1:6" ht="45">
      <c r="A1401" s="42">
        <v>14111515</v>
      </c>
      <c r="B1401" s="43" t="str">
        <f t="shared" ca="1" si="13"/>
        <v>Papel para sumadora o máquina registradora</v>
      </c>
      <c r="C1401" s="42" t="s">
        <v>252</v>
      </c>
      <c r="D1401" s="42">
        <v>24</v>
      </c>
      <c r="E1401" s="45">
        <v>11.51</v>
      </c>
      <c r="F1401" s="46">
        <f t="shared" ca="1" si="14"/>
        <v>276.24</v>
      </c>
    </row>
    <row r="1402" spans="1:6" ht="22.5">
      <c r="A1402" s="42">
        <v>44101802</v>
      </c>
      <c r="B1402" s="43" t="str">
        <f t="shared" ca="1" si="13"/>
        <v>Máquinas sumadoras</v>
      </c>
      <c r="C1402" s="42" t="s">
        <v>252</v>
      </c>
      <c r="D1402" s="42">
        <v>150</v>
      </c>
      <c r="E1402" s="45">
        <v>125</v>
      </c>
      <c r="F1402" s="46">
        <f t="shared" ca="1" si="14"/>
        <v>18750</v>
      </c>
    </row>
    <row r="1403" spans="1:6">
      <c r="A1403" s="42">
        <v>44122011</v>
      </c>
      <c r="B1403" s="43" t="str">
        <f t="shared" ca="1" si="13"/>
        <v>Folders</v>
      </c>
      <c r="C1403" s="42" t="s">
        <v>275</v>
      </c>
      <c r="D1403" s="42">
        <v>20</v>
      </c>
      <c r="E1403" s="45">
        <v>183</v>
      </c>
      <c r="F1403" s="46">
        <f t="shared" ca="1" si="14"/>
        <v>3660</v>
      </c>
    </row>
    <row r="1404" spans="1:6" ht="33.75">
      <c r="A1404" s="42">
        <v>44121613</v>
      </c>
      <c r="B1404" s="43" t="str">
        <f t="shared" ca="1" si="13"/>
        <v>Removedores de grapas (saca ganchos)</v>
      </c>
      <c r="C1404" s="42" t="s">
        <v>252</v>
      </c>
      <c r="D1404" s="42">
        <v>40</v>
      </c>
      <c r="E1404" s="45">
        <v>350</v>
      </c>
      <c r="F1404" s="46">
        <f t="shared" ca="1" si="14"/>
        <v>14000</v>
      </c>
    </row>
    <row r="1405" spans="1:6">
      <c r="A1405" s="42">
        <v>44121716</v>
      </c>
      <c r="B1405" s="43" t="str">
        <f t="shared" ca="1" si="13"/>
        <v>Resaltadores</v>
      </c>
      <c r="C1405" s="42" t="s">
        <v>275</v>
      </c>
      <c r="D1405" s="42">
        <v>40</v>
      </c>
      <c r="E1405" s="45">
        <v>95</v>
      </c>
      <c r="F1405" s="46">
        <f t="shared" ca="1" si="14"/>
        <v>3800</v>
      </c>
    </row>
    <row r="1406" spans="1:6" ht="33.75">
      <c r="A1406" s="42">
        <v>44102606</v>
      </c>
      <c r="B1406" s="43" t="str">
        <f t="shared" ca="1" si="13"/>
        <v>Cinta de máquinas de escribir</v>
      </c>
      <c r="C1406" s="42" t="s">
        <v>252</v>
      </c>
      <c r="D1406" s="42">
        <v>30</v>
      </c>
      <c r="E1406" s="45">
        <v>160</v>
      </c>
      <c r="F1406" s="46">
        <f t="shared" ca="1" si="14"/>
        <v>4800</v>
      </c>
    </row>
    <row r="1407" spans="1:6" ht="22.5">
      <c r="A1407" s="42">
        <v>53121601</v>
      </c>
      <c r="B1407" s="43" t="str">
        <f t="shared" ca="1" si="13"/>
        <v>Bolsos o carteras</v>
      </c>
      <c r="C1407" s="42" t="s">
        <v>252</v>
      </c>
      <c r="D1407" s="42">
        <v>40</v>
      </c>
      <c r="E1407" s="45">
        <v>700</v>
      </c>
      <c r="F1407" s="46">
        <f t="shared" ca="1" si="14"/>
        <v>28000</v>
      </c>
    </row>
    <row r="1408" spans="1:6" ht="22.5">
      <c r="A1408" s="42">
        <v>55121804</v>
      </c>
      <c r="B1408" s="43" t="str">
        <f t="shared" ca="1" si="13"/>
        <v>Gafetes o porta gafetes</v>
      </c>
      <c r="C1408" s="42" t="s">
        <v>252</v>
      </c>
      <c r="D1408" s="42">
        <v>150</v>
      </c>
      <c r="E1408" s="45">
        <v>90</v>
      </c>
      <c r="F1408" s="46">
        <f t="shared" ca="1" si="14"/>
        <v>13500</v>
      </c>
    </row>
    <row r="1409" spans="1:6" ht="22.5">
      <c r="A1409" s="42">
        <v>53102301</v>
      </c>
      <c r="B1409" s="43" t="str">
        <f t="shared" ca="1" si="13"/>
        <v>Camisetas interiores</v>
      </c>
      <c r="C1409" s="42" t="s">
        <v>252</v>
      </c>
      <c r="D1409" s="42">
        <v>350</v>
      </c>
      <c r="E1409" s="45">
        <v>231.78</v>
      </c>
      <c r="F1409" s="46">
        <f t="shared" ca="1" si="14"/>
        <v>81123</v>
      </c>
    </row>
    <row r="1410" spans="1:6">
      <c r="A1410" s="42">
        <v>53102516</v>
      </c>
      <c r="B1410" s="43" t="str">
        <f t="shared" ca="1" si="13"/>
        <v>Gorras</v>
      </c>
      <c r="C1410" s="42" t="s">
        <v>252</v>
      </c>
      <c r="D1410" s="42">
        <v>160</v>
      </c>
      <c r="E1410" s="45">
        <v>180</v>
      </c>
      <c r="F1410" s="46">
        <f t="shared" ca="1" si="14"/>
        <v>28800</v>
      </c>
    </row>
    <row r="1411" spans="1:6">
      <c r="A1411" s="50"/>
      <c r="B1411" s="50"/>
      <c r="C1411" s="50"/>
      <c r="D1411" s="50"/>
      <c r="E1411" s="51" t="s">
        <v>50</v>
      </c>
      <c r="F1411" s="48">
        <f ca="1">SUM(Table3114[MONTO TOTAL ESTIMADO])</f>
        <v>322669.44</v>
      </c>
    </row>
    <row r="1412" spans="1:6" ht="17.25" thickBot="1">
      <c r="A1412" s="36"/>
      <c r="B1412" s="36"/>
      <c r="C1412" s="36"/>
      <c r="D1412" s="36"/>
      <c r="E1412" s="36"/>
      <c r="F1412" s="36"/>
    </row>
    <row r="1413" spans="1:6" ht="34.5" thickBot="1">
      <c r="A1413" s="1" t="s">
        <v>0</v>
      </c>
      <c r="B1413" s="1" t="s">
        <v>1</v>
      </c>
      <c r="C1413" s="1" t="s">
        <v>2</v>
      </c>
      <c r="D1413" s="1" t="s">
        <v>3</v>
      </c>
      <c r="E1413" s="1" t="s">
        <v>4</v>
      </c>
      <c r="F1413" s="1" t="s">
        <v>5</v>
      </c>
    </row>
    <row r="1414" spans="1:6" ht="15.75" thickBot="1">
      <c r="A1414" s="2" t="s">
        <v>276</v>
      </c>
      <c r="B1414" s="2" t="s">
        <v>277</v>
      </c>
      <c r="C1414" s="2" t="s">
        <v>8</v>
      </c>
      <c r="D1414" s="2" t="s">
        <v>53</v>
      </c>
      <c r="E1414" s="2" t="s">
        <v>63</v>
      </c>
      <c r="F1414" s="2"/>
    </row>
    <row r="1415" spans="1:6" ht="15.75" thickBot="1">
      <c r="A1415" s="3" t="s">
        <v>11</v>
      </c>
      <c r="B1415" s="4" t="s">
        <v>12</v>
      </c>
      <c r="C1415" s="5">
        <v>43407</v>
      </c>
      <c r="D1415" s="3" t="s">
        <v>13</v>
      </c>
      <c r="E1415" s="4" t="s">
        <v>14</v>
      </c>
      <c r="F1415" s="2"/>
    </row>
    <row r="1416" spans="1:6" ht="15.75" thickBot="1">
      <c r="A1416" s="6"/>
      <c r="B1416" s="4" t="s">
        <v>15</v>
      </c>
      <c r="C1416" s="7">
        <f>IF(C1415="","",IF(AND(MONTH(C1415)&gt;=1,MONTH(C1415)&lt;=3),1,IF(AND(MONTH(C1415)&gt;=4,MONTH(C1415)&lt;=6),2,IF(AND(MONTH(C1415)&gt;=7,MONTH(C1415)&lt;=9),3,4))))</f>
        <v>4</v>
      </c>
      <c r="D1416" s="6"/>
      <c r="E1416" s="4" t="s">
        <v>16</v>
      </c>
      <c r="F1416" s="2"/>
    </row>
    <row r="1417" spans="1:6" ht="15.75" thickBot="1">
      <c r="A1417" s="6"/>
      <c r="B1417" s="4" t="s">
        <v>17</v>
      </c>
      <c r="C1417" s="5">
        <v>43434</v>
      </c>
      <c r="D1417" s="6"/>
      <c r="E1417" s="4" t="s">
        <v>18</v>
      </c>
      <c r="F1417" s="2"/>
    </row>
    <row r="1418" spans="1:6" ht="15.75" thickBot="1">
      <c r="A1418" s="6"/>
      <c r="B1418" s="4" t="s">
        <v>15</v>
      </c>
      <c r="C1418" s="7">
        <f>IF(C1417="","",IF(AND(MONTH(C1417)&gt;=1,MONTH(C1417)&lt;=3),1,IF(AND(MONTH(C1417)&gt;=4,MONTH(C1417)&lt;=6),2,IF(AND(MONTH(C1417)&gt;=7,MONTH(C1417)&lt;=9),3,4))))</f>
        <v>4</v>
      </c>
      <c r="D1418" s="6"/>
      <c r="E1418" s="4" t="s">
        <v>19</v>
      </c>
      <c r="F1418" s="2"/>
    </row>
    <row r="1419" spans="1:6" ht="15.75" thickBot="1">
      <c r="A1419" s="50"/>
      <c r="B1419" s="50"/>
      <c r="C1419" s="50"/>
      <c r="D1419" s="50"/>
      <c r="E1419" s="50"/>
      <c r="F1419" s="50"/>
    </row>
    <row r="1420" spans="1:6" ht="15.75" thickBot="1">
      <c r="A1420" s="41" t="s">
        <v>43</v>
      </c>
      <c r="B1420" s="41" t="s">
        <v>44</v>
      </c>
      <c r="C1420" s="41" t="s">
        <v>45</v>
      </c>
      <c r="D1420" s="41" t="s">
        <v>46</v>
      </c>
      <c r="E1420" s="41" t="s">
        <v>47</v>
      </c>
      <c r="F1420" s="41" t="s">
        <v>48</v>
      </c>
    </row>
    <row r="1421" spans="1:6" ht="45">
      <c r="A1421" s="42">
        <v>82121701</v>
      </c>
      <c r="B1421" s="43" t="str">
        <f ca="1">IFERROR(INDEX(UNSPSCDes,MATCH(INDIRECT(ADDRESS(ROW(),COLUMN()-1,4)),UNSPSCCode,0)),"")</f>
        <v>Servicios de copias en blanco y negro o de cotejo</v>
      </c>
      <c r="C1421" s="42" t="s">
        <v>252</v>
      </c>
      <c r="D1421" s="42">
        <v>110000</v>
      </c>
      <c r="E1421" s="45">
        <v>1.35</v>
      </c>
      <c r="F1421" s="46">
        <f ca="1">INDIRECT(ADDRESS(ROW(),COLUMN()-2,4))*INDIRECT(ADDRESS(ROW(),COLUMN()-1,4))</f>
        <v>148500</v>
      </c>
    </row>
    <row r="1422" spans="1:6" ht="45">
      <c r="A1422" s="42">
        <v>82121701</v>
      </c>
      <c r="B1422" s="43" t="str">
        <f ca="1">IFERROR(INDEX(UNSPSCDes,MATCH(INDIRECT(ADDRESS(ROW(),COLUMN()-1,4)),UNSPSCCode,0)),"")</f>
        <v>Servicios de copias en blanco y negro o de cotejo</v>
      </c>
      <c r="C1422" s="42" t="s">
        <v>252</v>
      </c>
      <c r="D1422" s="42">
        <v>1150</v>
      </c>
      <c r="E1422" s="45">
        <v>58.36</v>
      </c>
      <c r="F1422" s="46">
        <f ca="1">INDIRECT(ADDRESS(ROW(),COLUMN()-2,4))*INDIRECT(ADDRESS(ROW(),COLUMN()-1,4))</f>
        <v>67114</v>
      </c>
    </row>
    <row r="1423" spans="1:6">
      <c r="A1423" s="50"/>
      <c r="B1423" s="50"/>
      <c r="C1423" s="50"/>
      <c r="D1423" s="50"/>
      <c r="E1423" s="51" t="s">
        <v>50</v>
      </c>
      <c r="F1423" s="48">
        <f ca="1">SUM(Table3115[MONTO TOTAL ESTIMADO])</f>
        <v>215614</v>
      </c>
    </row>
    <row r="1424" spans="1:6" ht="17.25" thickBot="1">
      <c r="A1424" s="36"/>
      <c r="B1424" s="36"/>
      <c r="C1424" s="36"/>
      <c r="D1424" s="36"/>
      <c r="E1424" s="36"/>
      <c r="F1424" s="36"/>
    </row>
    <row r="1425" spans="1:6" ht="34.5" thickBot="1">
      <c r="A1425" s="1" t="s">
        <v>0</v>
      </c>
      <c r="B1425" s="1" t="s">
        <v>1</v>
      </c>
      <c r="C1425" s="1" t="s">
        <v>2</v>
      </c>
      <c r="D1425" s="1" t="s">
        <v>3</v>
      </c>
      <c r="E1425" s="1" t="s">
        <v>4</v>
      </c>
      <c r="F1425" s="1" t="s">
        <v>5</v>
      </c>
    </row>
    <row r="1426" spans="1:6" ht="15.75" thickBot="1">
      <c r="A1426" s="2" t="s">
        <v>193</v>
      </c>
      <c r="B1426" s="2" t="s">
        <v>277</v>
      </c>
      <c r="C1426" s="2" t="s">
        <v>40</v>
      </c>
      <c r="D1426" s="2" t="s">
        <v>62</v>
      </c>
      <c r="E1426" s="2" t="s">
        <v>63</v>
      </c>
      <c r="F1426" s="2"/>
    </row>
    <row r="1427" spans="1:6" ht="15.75" thickBot="1">
      <c r="A1427" s="3" t="s">
        <v>11</v>
      </c>
      <c r="B1427" s="4" t="s">
        <v>12</v>
      </c>
      <c r="C1427" s="5">
        <v>43407</v>
      </c>
      <c r="D1427" s="3" t="s">
        <v>13</v>
      </c>
      <c r="E1427" s="4" t="s">
        <v>14</v>
      </c>
      <c r="F1427" s="2"/>
    </row>
    <row r="1428" spans="1:6" ht="15.75" thickBot="1">
      <c r="A1428" s="6"/>
      <c r="B1428" s="4" t="s">
        <v>15</v>
      </c>
      <c r="C1428" s="7">
        <f>IF(C1427="","",IF(AND(MONTH(C1427)&gt;=1,MONTH(C1427)&lt;=3),1,IF(AND(MONTH(C1427)&gt;=4,MONTH(C1427)&lt;=6),2,IF(AND(MONTH(C1427)&gt;=7,MONTH(C1427)&lt;=9),3,4))))</f>
        <v>4</v>
      </c>
      <c r="D1428" s="6"/>
      <c r="E1428" s="4" t="s">
        <v>16</v>
      </c>
      <c r="F1428" s="2"/>
    </row>
    <row r="1429" spans="1:6" ht="15.75" thickBot="1">
      <c r="A1429" s="6"/>
      <c r="B1429" s="4" t="s">
        <v>17</v>
      </c>
      <c r="C1429" s="5">
        <v>43434</v>
      </c>
      <c r="D1429" s="6"/>
      <c r="E1429" s="4" t="s">
        <v>18</v>
      </c>
      <c r="F1429" s="2"/>
    </row>
    <row r="1430" spans="1:6" ht="15.75" thickBot="1">
      <c r="A1430" s="6"/>
      <c r="B1430" s="4" t="s">
        <v>15</v>
      </c>
      <c r="C1430" s="7">
        <f>IF(C1429="","",IF(AND(MONTH(C1429)&gt;=1,MONTH(C1429)&lt;=3),1,IF(AND(MONTH(C1429)&gt;=4,MONTH(C1429)&lt;=6),2,IF(AND(MONTH(C1429)&gt;=7,MONTH(C1429)&lt;=9),3,4))))</f>
        <v>4</v>
      </c>
      <c r="D1430" s="6"/>
      <c r="E1430" s="4" t="s">
        <v>19</v>
      </c>
      <c r="F1430" s="2"/>
    </row>
    <row r="1431" spans="1:6" ht="15.75" thickBot="1">
      <c r="A1431" s="50"/>
      <c r="B1431" s="50"/>
      <c r="C1431" s="50"/>
      <c r="D1431" s="50"/>
      <c r="E1431" s="50"/>
      <c r="F1431" s="50"/>
    </row>
    <row r="1432" spans="1:6" ht="15.75" thickBot="1">
      <c r="A1432" s="41" t="s">
        <v>43</v>
      </c>
      <c r="B1432" s="41" t="s">
        <v>44</v>
      </c>
      <c r="C1432" s="41" t="s">
        <v>45</v>
      </c>
      <c r="D1432" s="41" t="s">
        <v>46</v>
      </c>
      <c r="E1432" s="41" t="s">
        <v>47</v>
      </c>
      <c r="F1432" s="41" t="s">
        <v>48</v>
      </c>
    </row>
    <row r="1433" spans="1:6" ht="22.5">
      <c r="A1433" s="42">
        <v>60104509</v>
      </c>
      <c r="B1433" s="43" t="str">
        <f ca="1">IFERROR(INDEX(UNSPSCDes,MATCH(INDIRECT(ADDRESS(ROW(),COLUMN()-1,4)),UNSPSCCode,0)),"")</f>
        <v>Pilas de combustible</v>
      </c>
      <c r="C1433" s="42" t="s">
        <v>252</v>
      </c>
      <c r="D1433" s="42">
        <v>200</v>
      </c>
      <c r="E1433" s="45">
        <v>180</v>
      </c>
      <c r="F1433" s="46">
        <f ca="1">INDIRECT(ADDRESS(ROW(),COLUMN()-2,4))*INDIRECT(ADDRESS(ROW(),COLUMN()-1,4))</f>
        <v>36000</v>
      </c>
    </row>
    <row r="1434" spans="1:6" ht="22.5">
      <c r="A1434" s="42">
        <v>53102301</v>
      </c>
      <c r="B1434" s="43" t="str">
        <f ca="1">IFERROR(INDEX(UNSPSCDes,MATCH(INDIRECT(ADDRESS(ROW(),COLUMN()-1,4)),UNSPSCCode,0)),"")</f>
        <v>Camisetas interiores</v>
      </c>
      <c r="C1434" s="42" t="s">
        <v>252</v>
      </c>
      <c r="D1434" s="42">
        <v>300</v>
      </c>
      <c r="E1434" s="45">
        <v>309.75</v>
      </c>
      <c r="F1434" s="46">
        <f ca="1">INDIRECT(ADDRESS(ROW(),COLUMN()-2,4))*INDIRECT(ADDRESS(ROW(),COLUMN()-1,4))</f>
        <v>92925</v>
      </c>
    </row>
    <row r="1435" spans="1:6">
      <c r="A1435" s="42">
        <v>53102516</v>
      </c>
      <c r="B1435" s="43" t="str">
        <f ca="1">IFERROR(INDEX(UNSPSCDes,MATCH(INDIRECT(ADDRESS(ROW(),COLUMN()-1,4)),UNSPSCCode,0)),"")</f>
        <v>Gorras</v>
      </c>
      <c r="C1435" s="42" t="s">
        <v>252</v>
      </c>
      <c r="D1435" s="42">
        <v>200</v>
      </c>
      <c r="E1435" s="45">
        <v>230</v>
      </c>
      <c r="F1435" s="46">
        <f ca="1">INDIRECT(ADDRESS(ROW(),COLUMN()-2,4))*INDIRECT(ADDRESS(ROW(),COLUMN()-1,4))</f>
        <v>46000</v>
      </c>
    </row>
    <row r="1436" spans="1:6">
      <c r="A1436" s="42">
        <v>53102505</v>
      </c>
      <c r="B1436" s="43" t="str">
        <f ca="1">IFERROR(INDEX(UNSPSCDes,MATCH(INDIRECT(ADDRESS(ROW(),COLUMN()-1,4)),UNSPSCCode,0)),"")</f>
        <v>Sombrillas</v>
      </c>
      <c r="C1436" s="42" t="s">
        <v>252</v>
      </c>
      <c r="D1436" s="42">
        <v>300</v>
      </c>
      <c r="E1436" s="45">
        <v>350</v>
      </c>
      <c r="F1436" s="46">
        <f ca="1">INDIRECT(ADDRESS(ROW(),COLUMN()-2,4))*INDIRECT(ADDRESS(ROW(),COLUMN()-1,4))</f>
        <v>105000</v>
      </c>
    </row>
    <row r="1437" spans="1:6">
      <c r="A1437" s="50"/>
      <c r="B1437" s="50"/>
      <c r="C1437" s="50"/>
      <c r="D1437" s="50"/>
      <c r="E1437" s="51" t="s">
        <v>50</v>
      </c>
      <c r="F1437" s="48">
        <f ca="1">SUM(Table3116[MONTO TOTAL ESTIMADO])</f>
        <v>279925</v>
      </c>
    </row>
    <row r="1438" spans="1:6" ht="17.25" thickBot="1">
      <c r="A1438" s="36"/>
      <c r="B1438" s="36"/>
      <c r="C1438" s="36"/>
      <c r="D1438" s="36"/>
      <c r="E1438" s="36"/>
      <c r="F1438" s="36"/>
    </row>
    <row r="1439" spans="1:6" ht="34.5" thickBot="1">
      <c r="A1439" s="1" t="s">
        <v>0</v>
      </c>
      <c r="B1439" s="1" t="s">
        <v>1</v>
      </c>
      <c r="C1439" s="1" t="s">
        <v>2</v>
      </c>
      <c r="D1439" s="1" t="s">
        <v>3</v>
      </c>
      <c r="E1439" s="1" t="s">
        <v>4</v>
      </c>
      <c r="F1439" s="1" t="s">
        <v>5</v>
      </c>
    </row>
    <row r="1440" spans="1:6" ht="15.75" thickBot="1">
      <c r="A1440" s="2" t="s">
        <v>278</v>
      </c>
      <c r="B1440" s="2" t="s">
        <v>279</v>
      </c>
      <c r="C1440" s="2" t="s">
        <v>40</v>
      </c>
      <c r="D1440" s="2" t="s">
        <v>62</v>
      </c>
      <c r="E1440" s="2" t="s">
        <v>63</v>
      </c>
      <c r="F1440" s="2"/>
    </row>
    <row r="1441" spans="1:6" ht="15.75" thickBot="1">
      <c r="A1441" s="3" t="s">
        <v>11</v>
      </c>
      <c r="B1441" s="4" t="s">
        <v>12</v>
      </c>
      <c r="C1441" s="5">
        <v>43410</v>
      </c>
      <c r="D1441" s="3" t="s">
        <v>13</v>
      </c>
      <c r="E1441" s="4" t="s">
        <v>14</v>
      </c>
      <c r="F1441" s="2"/>
    </row>
    <row r="1442" spans="1:6" ht="15.75" thickBot="1">
      <c r="A1442" s="6"/>
      <c r="B1442" s="4" t="s">
        <v>15</v>
      </c>
      <c r="C1442" s="7">
        <f>IF(C1441="","",IF(AND(MONTH(C1441)&gt;=1,MONTH(C1441)&lt;=3),1,IF(AND(MONTH(C1441)&gt;=4,MONTH(C1441)&lt;=6),2,IF(AND(MONTH(C1441)&gt;=7,MONTH(C1441)&lt;=9),3,4))))</f>
        <v>4</v>
      </c>
      <c r="D1442" s="6"/>
      <c r="E1442" s="4" t="s">
        <v>16</v>
      </c>
      <c r="F1442" s="2"/>
    </row>
    <row r="1443" spans="1:6" ht="15.75" thickBot="1">
      <c r="A1443" s="6"/>
      <c r="B1443" s="4" t="s">
        <v>17</v>
      </c>
      <c r="C1443" s="5">
        <v>43424</v>
      </c>
      <c r="D1443" s="6"/>
      <c r="E1443" s="4" t="s">
        <v>18</v>
      </c>
      <c r="F1443" s="2"/>
    </row>
    <row r="1444" spans="1:6" ht="15.75" thickBot="1">
      <c r="A1444" s="6"/>
      <c r="B1444" s="4" t="s">
        <v>15</v>
      </c>
      <c r="C1444" s="7">
        <f>IF(C1443="","",IF(AND(MONTH(C1443)&gt;=1,MONTH(C1443)&lt;=3),1,IF(AND(MONTH(C1443)&gt;=4,MONTH(C1443)&lt;=6),2,IF(AND(MONTH(C1443)&gt;=7,MONTH(C1443)&lt;=9),3,4))))</f>
        <v>4</v>
      </c>
      <c r="D1444" s="6"/>
      <c r="E1444" s="4" t="s">
        <v>19</v>
      </c>
      <c r="F1444" s="2"/>
    </row>
    <row r="1445" spans="1:6" ht="15.75" thickBot="1">
      <c r="A1445" s="50"/>
      <c r="B1445" s="50"/>
      <c r="C1445" s="50"/>
      <c r="D1445" s="50"/>
      <c r="E1445" s="50"/>
      <c r="F1445" s="50"/>
    </row>
    <row r="1446" spans="1:6" ht="15.75" thickBot="1">
      <c r="A1446" s="41" t="s">
        <v>43</v>
      </c>
      <c r="B1446" s="41" t="s">
        <v>44</v>
      </c>
      <c r="C1446" s="41" t="s">
        <v>45</v>
      </c>
      <c r="D1446" s="41" t="s">
        <v>46</v>
      </c>
      <c r="E1446" s="41" t="s">
        <v>47</v>
      </c>
      <c r="F1446" s="41" t="s">
        <v>48</v>
      </c>
    </row>
    <row r="1447" spans="1:6" ht="45">
      <c r="A1447" s="42">
        <v>51161812</v>
      </c>
      <c r="B1447" s="43" t="str">
        <f t="shared" ref="B1447:B1452" ca="1" si="15">IFERROR(INDEX(UNSPSCDes,MATCH(INDIRECT(ADDRESS(ROW(),COLUMN()-1,4)),UNSPSCCode,0)),"")</f>
        <v>Combinación de acetaminofen y clorfeniramina</v>
      </c>
      <c r="C1447" s="42" t="s">
        <v>252</v>
      </c>
      <c r="D1447" s="42">
        <v>900</v>
      </c>
      <c r="E1447" s="45">
        <v>20</v>
      </c>
      <c r="F1447" s="46">
        <f t="shared" ref="F1447:F1452" ca="1" si="16">INDIRECT(ADDRESS(ROW(),COLUMN()-2,4))*INDIRECT(ADDRESS(ROW(),COLUMN()-1,4))</f>
        <v>18000</v>
      </c>
    </row>
    <row r="1448" spans="1:6">
      <c r="A1448" s="42">
        <v>51161708</v>
      </c>
      <c r="B1448" s="43" t="str">
        <f t="shared" ca="1" si="15"/>
        <v>Dornasa alfa</v>
      </c>
      <c r="C1448" s="42" t="s">
        <v>252</v>
      </c>
      <c r="D1448" s="42">
        <v>70</v>
      </c>
      <c r="E1448" s="45">
        <v>21</v>
      </c>
      <c r="F1448" s="46">
        <f t="shared" ca="1" si="16"/>
        <v>1470</v>
      </c>
    </row>
    <row r="1449" spans="1:6">
      <c r="A1449" s="42">
        <v>51171909</v>
      </c>
      <c r="B1449" s="43" t="str">
        <f t="shared" ca="1" si="15"/>
        <v>Omeprazol</v>
      </c>
      <c r="C1449" s="42" t="s">
        <v>252</v>
      </c>
      <c r="D1449" s="42">
        <v>1000</v>
      </c>
      <c r="E1449" s="45">
        <v>14.68</v>
      </c>
      <c r="F1449" s="46">
        <f t="shared" ca="1" si="16"/>
        <v>14680</v>
      </c>
    </row>
    <row r="1450" spans="1:6" ht="22.5">
      <c r="A1450" s="42">
        <v>12352104</v>
      </c>
      <c r="B1450" s="43" t="str">
        <f t="shared" ca="1" si="15"/>
        <v>Alcoholes o sus sustitutos</v>
      </c>
      <c r="C1450" s="42" t="s">
        <v>252</v>
      </c>
      <c r="D1450" s="42">
        <v>35</v>
      </c>
      <c r="E1450" s="45">
        <v>40</v>
      </c>
      <c r="F1450" s="46">
        <f t="shared" ca="1" si="16"/>
        <v>1400</v>
      </c>
    </row>
    <row r="1451" spans="1:6" ht="22.5">
      <c r="A1451" s="42">
        <v>12352209</v>
      </c>
      <c r="B1451" s="43" t="str">
        <f t="shared" ca="1" si="15"/>
        <v>Aminoácidos o sus derivados</v>
      </c>
      <c r="C1451" s="42" t="s">
        <v>252</v>
      </c>
      <c r="D1451" s="42">
        <v>100</v>
      </c>
      <c r="E1451" s="45">
        <v>100</v>
      </c>
      <c r="F1451" s="46">
        <f t="shared" ca="1" si="16"/>
        <v>10000</v>
      </c>
    </row>
    <row r="1452" spans="1:6" ht="33.75">
      <c r="A1452" s="42">
        <v>85141602</v>
      </c>
      <c r="B1452" s="43" t="str">
        <f t="shared" ca="1" si="15"/>
        <v>Curas médicas con algas o algas marinas</v>
      </c>
      <c r="C1452" s="42" t="s">
        <v>252</v>
      </c>
      <c r="D1452" s="42">
        <v>600</v>
      </c>
      <c r="E1452" s="45">
        <v>2.5</v>
      </c>
      <c r="F1452" s="46">
        <f t="shared" ca="1" si="16"/>
        <v>1500</v>
      </c>
    </row>
    <row r="1453" spans="1:6">
      <c r="A1453" s="50"/>
      <c r="B1453" s="50"/>
      <c r="C1453" s="50"/>
      <c r="D1453" s="50"/>
      <c r="E1453" s="51" t="s">
        <v>50</v>
      </c>
      <c r="F1453" s="48">
        <f ca="1">SUM(Table3117[MONTO TOTAL ESTIMADO])</f>
        <v>47050</v>
      </c>
    </row>
    <row r="1454" spans="1:6" ht="17.25" thickBot="1">
      <c r="A1454" s="36"/>
      <c r="B1454" s="36"/>
      <c r="C1454" s="36"/>
      <c r="D1454" s="36"/>
      <c r="E1454" s="36"/>
      <c r="F1454" s="36"/>
    </row>
    <row r="1455" spans="1:6" ht="34.5" thickBot="1">
      <c r="A1455" s="1" t="s">
        <v>0</v>
      </c>
      <c r="B1455" s="1" t="s">
        <v>1</v>
      </c>
      <c r="C1455" s="1" t="s">
        <v>2</v>
      </c>
      <c r="D1455" s="1" t="s">
        <v>3</v>
      </c>
      <c r="E1455" s="1" t="s">
        <v>4</v>
      </c>
      <c r="F1455" s="1" t="s">
        <v>5</v>
      </c>
    </row>
    <row r="1456" spans="1:6" ht="15.75" thickBot="1">
      <c r="A1456" s="2" t="s">
        <v>193</v>
      </c>
      <c r="B1456" s="2" t="s">
        <v>280</v>
      </c>
      <c r="C1456" s="2" t="s">
        <v>40</v>
      </c>
      <c r="D1456" s="2" t="s">
        <v>62</v>
      </c>
      <c r="E1456" s="2" t="s">
        <v>63</v>
      </c>
      <c r="F1456" s="2"/>
    </row>
    <row r="1457" spans="1:6" ht="15.75" thickBot="1">
      <c r="A1457" s="3" t="s">
        <v>11</v>
      </c>
      <c r="B1457" s="4" t="s">
        <v>12</v>
      </c>
      <c r="C1457" s="5">
        <v>43409</v>
      </c>
      <c r="D1457" s="3" t="s">
        <v>13</v>
      </c>
      <c r="E1457" s="4" t="s">
        <v>14</v>
      </c>
      <c r="F1457" s="2"/>
    </row>
    <row r="1458" spans="1:6" ht="15.75" thickBot="1">
      <c r="A1458" s="6"/>
      <c r="B1458" s="4" t="s">
        <v>15</v>
      </c>
      <c r="C1458" s="7">
        <f>IF(C1457="","",IF(AND(MONTH(C1457)&gt;=1,MONTH(C1457)&lt;=3),1,IF(AND(MONTH(C1457)&gt;=4,MONTH(C1457)&lt;=6),2,IF(AND(MONTH(C1457)&gt;=7,MONTH(C1457)&lt;=9),3,4))))</f>
        <v>4</v>
      </c>
      <c r="D1458" s="6"/>
      <c r="E1458" s="4" t="s">
        <v>16</v>
      </c>
      <c r="F1458" s="2"/>
    </row>
    <row r="1459" spans="1:6" ht="15.75" thickBot="1">
      <c r="A1459" s="6"/>
      <c r="B1459" s="4" t="s">
        <v>17</v>
      </c>
      <c r="C1459" s="5">
        <v>43424</v>
      </c>
      <c r="D1459" s="6"/>
      <c r="E1459" s="4" t="s">
        <v>18</v>
      </c>
      <c r="F1459" s="2"/>
    </row>
    <row r="1460" spans="1:6" ht="15.75" thickBot="1">
      <c r="A1460" s="6"/>
      <c r="B1460" s="4" t="s">
        <v>15</v>
      </c>
      <c r="C1460" s="7">
        <f>IF(C1459="","",IF(AND(MONTH(C1459)&gt;=1,MONTH(C1459)&lt;=3),1,IF(AND(MONTH(C1459)&gt;=4,MONTH(C1459)&lt;=6),2,IF(AND(MONTH(C1459)&gt;=7,MONTH(C1459)&lt;=9),3,4))))</f>
        <v>4</v>
      </c>
      <c r="D1460" s="6"/>
      <c r="E1460" s="4" t="s">
        <v>19</v>
      </c>
      <c r="F1460" s="2"/>
    </row>
    <row r="1461" spans="1:6" ht="15.75" thickBot="1">
      <c r="A1461" s="50"/>
      <c r="B1461" s="50"/>
      <c r="C1461" s="50"/>
      <c r="D1461" s="50"/>
      <c r="E1461" s="50"/>
      <c r="F1461" s="50"/>
    </row>
    <row r="1462" spans="1:6" ht="15.75" thickBot="1">
      <c r="A1462" s="41" t="s">
        <v>43</v>
      </c>
      <c r="B1462" s="41" t="s">
        <v>44</v>
      </c>
      <c r="C1462" s="41" t="s">
        <v>45</v>
      </c>
      <c r="D1462" s="41" t="s">
        <v>46</v>
      </c>
      <c r="E1462" s="41" t="s">
        <v>47</v>
      </c>
      <c r="F1462" s="41" t="s">
        <v>48</v>
      </c>
    </row>
    <row r="1463" spans="1:6">
      <c r="A1463" s="42">
        <v>44121701</v>
      </c>
      <c r="B1463" s="43" t="str">
        <f ca="1">IFERROR(INDEX(UNSPSCDes,MATCH(INDIRECT(ADDRESS(ROW(),COLUMN()-1,4)),UNSPSCCode,0)),"")</f>
        <v>Bolígrafos</v>
      </c>
      <c r="C1463" s="42" t="s">
        <v>275</v>
      </c>
      <c r="D1463" s="42">
        <v>20</v>
      </c>
      <c r="E1463" s="45">
        <v>60</v>
      </c>
      <c r="F1463" s="46">
        <f ca="1">INDIRECT(ADDRESS(ROW(),COLUMN()-2,4))*INDIRECT(ADDRESS(ROW(),COLUMN()-1,4))</f>
        <v>1200</v>
      </c>
    </row>
    <row r="1464" spans="1:6" ht="33.75">
      <c r="A1464" s="42">
        <v>44112001</v>
      </c>
      <c r="B1464" s="43" t="str">
        <f ca="1">IFERROR(INDEX(UNSPSCDes,MATCH(INDIRECT(ADDRESS(ROW(),COLUMN()-1,4)),UNSPSCCode,0)),"")</f>
        <v>Libretas de direcciones o repuestos</v>
      </c>
      <c r="C1464" s="42" t="s">
        <v>252</v>
      </c>
      <c r="D1464" s="42">
        <v>100</v>
      </c>
      <c r="E1464" s="45">
        <v>25</v>
      </c>
      <c r="F1464" s="46">
        <f ca="1">INDIRECT(ADDRESS(ROW(),COLUMN()-2,4))*INDIRECT(ADDRESS(ROW(),COLUMN()-1,4))</f>
        <v>2500</v>
      </c>
    </row>
    <row r="1465" spans="1:6" ht="33.75">
      <c r="A1465" s="42">
        <v>14111507</v>
      </c>
      <c r="B1465" s="43" t="str">
        <f ca="1">IFERROR(INDEX(UNSPSCDes,MATCH(INDIRECT(ADDRESS(ROW(),COLUMN()-1,4)),UNSPSCCode,0)),"")</f>
        <v>Papel para impresora o fotocopiadora</v>
      </c>
      <c r="C1465" s="42" t="s">
        <v>274</v>
      </c>
      <c r="D1465" s="42">
        <v>15</v>
      </c>
      <c r="E1465" s="45">
        <v>167.24</v>
      </c>
      <c r="F1465" s="46">
        <f ca="1">INDIRECT(ADDRESS(ROW(),COLUMN()-2,4))*INDIRECT(ADDRESS(ROW(),COLUMN()-1,4))</f>
        <v>2508.6000000000004</v>
      </c>
    </row>
    <row r="1466" spans="1:6">
      <c r="A1466" s="50"/>
      <c r="B1466" s="50"/>
      <c r="C1466" s="50"/>
      <c r="D1466" s="50"/>
      <c r="E1466" s="51" t="s">
        <v>50</v>
      </c>
      <c r="F1466" s="48">
        <f ca="1">SUM(Table3118[MONTO TOTAL ESTIMADO])</f>
        <v>6208.6</v>
      </c>
    </row>
    <row r="1467" spans="1:6" ht="17.25" thickBot="1">
      <c r="A1467" s="36"/>
      <c r="B1467" s="36"/>
      <c r="C1467" s="36"/>
      <c r="D1467" s="36"/>
      <c r="E1467" s="36"/>
      <c r="F1467" s="36"/>
    </row>
    <row r="1468" spans="1:6" ht="34.5" thickBot="1">
      <c r="A1468" s="1" t="s">
        <v>0</v>
      </c>
      <c r="B1468" s="1" t="s">
        <v>1</v>
      </c>
      <c r="C1468" s="1" t="s">
        <v>2</v>
      </c>
      <c r="D1468" s="1" t="s">
        <v>3</v>
      </c>
      <c r="E1468" s="1" t="s">
        <v>4</v>
      </c>
      <c r="F1468" s="1" t="s">
        <v>5</v>
      </c>
    </row>
    <row r="1469" spans="1:6" ht="15.75" thickBot="1">
      <c r="A1469" s="2" t="s">
        <v>281</v>
      </c>
      <c r="B1469" s="2" t="s">
        <v>282</v>
      </c>
      <c r="C1469" s="2" t="s">
        <v>40</v>
      </c>
      <c r="D1469" s="2" t="s">
        <v>53</v>
      </c>
      <c r="E1469" s="2" t="s">
        <v>42</v>
      </c>
      <c r="F1469" s="2"/>
    </row>
    <row r="1470" spans="1:6" ht="15.75" thickBot="1">
      <c r="A1470" s="3" t="s">
        <v>11</v>
      </c>
      <c r="B1470" s="4" t="s">
        <v>12</v>
      </c>
      <c r="C1470" s="5">
        <v>43409</v>
      </c>
      <c r="D1470" s="3" t="s">
        <v>13</v>
      </c>
      <c r="E1470" s="4" t="s">
        <v>14</v>
      </c>
      <c r="F1470" s="2"/>
    </row>
    <row r="1471" spans="1:6" ht="15.75" thickBot="1">
      <c r="A1471" s="6"/>
      <c r="B1471" s="4" t="s">
        <v>15</v>
      </c>
      <c r="C1471" s="7">
        <f>IF(C1470="","",IF(AND(MONTH(C1470)&gt;=1,MONTH(C1470)&lt;=3),1,IF(AND(MONTH(C1470)&gt;=4,MONTH(C1470)&lt;=6),2,IF(AND(MONTH(C1470)&gt;=7,MONTH(C1470)&lt;=9),3,4))))</f>
        <v>4</v>
      </c>
      <c r="D1471" s="6"/>
      <c r="E1471" s="4" t="s">
        <v>16</v>
      </c>
      <c r="F1471" s="2"/>
    </row>
    <row r="1472" spans="1:6" ht="15.75" thickBot="1">
      <c r="A1472" s="6"/>
      <c r="B1472" s="4" t="s">
        <v>17</v>
      </c>
      <c r="C1472" s="5">
        <v>43424</v>
      </c>
      <c r="D1472" s="6"/>
      <c r="E1472" s="4" t="s">
        <v>18</v>
      </c>
      <c r="F1472" s="2"/>
    </row>
    <row r="1473" spans="1:6" ht="15.75" thickBot="1">
      <c r="A1473" s="6"/>
      <c r="B1473" s="4" t="s">
        <v>15</v>
      </c>
      <c r="C1473" s="7">
        <f>IF(C1472="","",IF(AND(MONTH(C1472)&gt;=1,MONTH(C1472)&lt;=3),1,IF(AND(MONTH(C1472)&gt;=4,MONTH(C1472)&lt;=6),2,IF(AND(MONTH(C1472)&gt;=7,MONTH(C1472)&lt;=9),3,4))))</f>
        <v>4</v>
      </c>
      <c r="D1473" s="6"/>
      <c r="E1473" s="4" t="s">
        <v>19</v>
      </c>
      <c r="F1473" s="2"/>
    </row>
    <row r="1474" spans="1:6" ht="15.75" thickBot="1">
      <c r="A1474" s="50"/>
      <c r="B1474" s="50"/>
      <c r="C1474" s="50"/>
      <c r="D1474" s="50"/>
      <c r="E1474" s="50"/>
      <c r="F1474" s="50"/>
    </row>
    <row r="1475" spans="1:6" ht="15.75" thickBot="1">
      <c r="A1475" s="41" t="s">
        <v>43</v>
      </c>
      <c r="B1475" s="41" t="s">
        <v>44</v>
      </c>
      <c r="C1475" s="41" t="s">
        <v>45</v>
      </c>
      <c r="D1475" s="41" t="s">
        <v>46</v>
      </c>
      <c r="E1475" s="41" t="s">
        <v>47</v>
      </c>
      <c r="F1475" s="41" t="s">
        <v>48</v>
      </c>
    </row>
    <row r="1476" spans="1:6" ht="22.5">
      <c r="A1476" s="42">
        <v>82121503</v>
      </c>
      <c r="B1476" s="43" t="str">
        <f ca="1">IFERROR(INDEX(UNSPSCDes,MATCH(INDIRECT(ADDRESS(ROW(),COLUMN()-1,4)),UNSPSCCode,0)),"")</f>
        <v>Impresión digital</v>
      </c>
      <c r="C1476" s="42" t="s">
        <v>252</v>
      </c>
      <c r="D1476" s="42">
        <v>6100</v>
      </c>
      <c r="E1476" s="45">
        <v>31</v>
      </c>
      <c r="F1476" s="46">
        <f ca="1">INDIRECT(ADDRESS(ROW(),COLUMN()-2,4))*INDIRECT(ADDRESS(ROW(),COLUMN()-1,4))</f>
        <v>189100</v>
      </c>
    </row>
    <row r="1477" spans="1:6" ht="22.5">
      <c r="A1477" s="42">
        <v>53102301</v>
      </c>
      <c r="B1477" s="43" t="str">
        <f ca="1">IFERROR(INDEX(UNSPSCDes,MATCH(INDIRECT(ADDRESS(ROW(),COLUMN()-1,4)),UNSPSCCode,0)),"")</f>
        <v>Camisetas interiores</v>
      </c>
      <c r="C1477" s="42" t="s">
        <v>252</v>
      </c>
      <c r="D1477" s="42">
        <v>130</v>
      </c>
      <c r="E1477" s="45">
        <v>309.75</v>
      </c>
      <c r="F1477" s="46">
        <f ca="1">INDIRECT(ADDRESS(ROW(),COLUMN()-2,4))*INDIRECT(ADDRESS(ROW(),COLUMN()-1,4))</f>
        <v>40267.5</v>
      </c>
    </row>
    <row r="1478" spans="1:6">
      <c r="A1478" s="50"/>
      <c r="B1478" s="50"/>
      <c r="C1478" s="50"/>
      <c r="D1478" s="50"/>
      <c r="E1478" s="51" t="s">
        <v>50</v>
      </c>
      <c r="F1478" s="48">
        <f ca="1">SUM(Table3119[MONTO TOTAL ESTIMADO])</f>
        <v>229367.5</v>
      </c>
    </row>
    <row r="1479" spans="1:6" ht="17.25" thickBot="1">
      <c r="A1479" s="36"/>
      <c r="B1479" s="36"/>
      <c r="C1479" s="36"/>
      <c r="D1479" s="36"/>
      <c r="E1479" s="36"/>
      <c r="F1479" s="36"/>
    </row>
    <row r="1480" spans="1:6" ht="34.5" thickBot="1">
      <c r="A1480" s="1" t="s">
        <v>0</v>
      </c>
      <c r="B1480" s="1" t="s">
        <v>1</v>
      </c>
      <c r="C1480" s="1" t="s">
        <v>2</v>
      </c>
      <c r="D1480" s="1" t="s">
        <v>3</v>
      </c>
      <c r="E1480" s="1" t="s">
        <v>4</v>
      </c>
      <c r="F1480" s="1" t="s">
        <v>5</v>
      </c>
    </row>
    <row r="1481" spans="1:6" ht="15.75" thickBot="1">
      <c r="A1481" s="2" t="s">
        <v>283</v>
      </c>
      <c r="B1481" s="2" t="s">
        <v>284</v>
      </c>
      <c r="C1481" s="2" t="s">
        <v>40</v>
      </c>
      <c r="D1481" s="2" t="s">
        <v>53</v>
      </c>
      <c r="E1481" s="2" t="s">
        <v>63</v>
      </c>
      <c r="F1481" s="2"/>
    </row>
    <row r="1482" spans="1:6" ht="15.75" thickBot="1">
      <c r="A1482" s="3" t="s">
        <v>11</v>
      </c>
      <c r="B1482" s="4" t="s">
        <v>12</v>
      </c>
      <c r="C1482" s="5">
        <v>43381</v>
      </c>
      <c r="D1482" s="3" t="s">
        <v>13</v>
      </c>
      <c r="E1482" s="4" t="s">
        <v>14</v>
      </c>
      <c r="F1482" s="2"/>
    </row>
    <row r="1483" spans="1:6" ht="15.75" thickBot="1">
      <c r="A1483" s="6"/>
      <c r="B1483" s="4" t="s">
        <v>15</v>
      </c>
      <c r="C1483" s="7">
        <f>IF(C1482="","",IF(AND(MONTH(C1482)&gt;=1,MONTH(C1482)&lt;=3),1,IF(AND(MONTH(C1482)&gt;=4,MONTH(C1482)&lt;=6),2,IF(AND(MONTH(C1482)&gt;=7,MONTH(C1482)&lt;=9),3,4))))</f>
        <v>4</v>
      </c>
      <c r="D1483" s="6"/>
      <c r="E1483" s="4" t="s">
        <v>16</v>
      </c>
      <c r="F1483" s="2"/>
    </row>
    <row r="1484" spans="1:6" ht="15.75" thickBot="1">
      <c r="A1484" s="6"/>
      <c r="B1484" s="4" t="s">
        <v>17</v>
      </c>
      <c r="C1484" s="5">
        <v>43393</v>
      </c>
      <c r="D1484" s="6"/>
      <c r="E1484" s="4" t="s">
        <v>18</v>
      </c>
      <c r="F1484" s="2"/>
    </row>
    <row r="1485" spans="1:6" ht="15.75" thickBot="1">
      <c r="A1485" s="6"/>
      <c r="B1485" s="4" t="s">
        <v>15</v>
      </c>
      <c r="C1485" s="7">
        <f>IF(C1484="","",IF(AND(MONTH(C1484)&gt;=1,MONTH(C1484)&lt;=3),1,IF(AND(MONTH(C1484)&gt;=4,MONTH(C1484)&lt;=6),2,IF(AND(MONTH(C1484)&gt;=7,MONTH(C1484)&lt;=9),3,4))))</f>
        <v>4</v>
      </c>
      <c r="D1485" s="6"/>
      <c r="E1485" s="4" t="s">
        <v>19</v>
      </c>
      <c r="F1485" s="2"/>
    </row>
    <row r="1486" spans="1:6" ht="15.75" thickBot="1">
      <c r="A1486" s="50"/>
      <c r="B1486" s="50"/>
      <c r="C1486" s="50"/>
      <c r="D1486" s="50"/>
      <c r="E1486" s="50"/>
      <c r="F1486" s="50"/>
    </row>
    <row r="1487" spans="1:6" ht="15.75" thickBot="1">
      <c r="A1487" s="41" t="s">
        <v>43</v>
      </c>
      <c r="B1487" s="41" t="s">
        <v>44</v>
      </c>
      <c r="C1487" s="41" t="s">
        <v>45</v>
      </c>
      <c r="D1487" s="41" t="s">
        <v>46</v>
      </c>
      <c r="E1487" s="41" t="s">
        <v>47</v>
      </c>
      <c r="F1487" s="41" t="s">
        <v>48</v>
      </c>
    </row>
    <row r="1488" spans="1:6">
      <c r="A1488" s="42">
        <v>44121701</v>
      </c>
      <c r="B1488" s="43" t="str">
        <f t="shared" ref="B1488:B1496" ca="1" si="17">IFERROR(INDEX(UNSPSCDes,MATCH(INDIRECT(ADDRESS(ROW(),COLUMN()-1,4)),UNSPSCCode,0)),"")</f>
        <v>Bolígrafos</v>
      </c>
      <c r="C1488" s="42" t="s">
        <v>275</v>
      </c>
      <c r="D1488" s="42">
        <v>25</v>
      </c>
      <c r="E1488" s="45">
        <v>60</v>
      </c>
      <c r="F1488" s="46">
        <f t="shared" ref="F1488:F1496" ca="1" si="18">INDIRECT(ADDRESS(ROW(),COLUMN()-2,4))*INDIRECT(ADDRESS(ROW(),COLUMN()-1,4))</f>
        <v>1500</v>
      </c>
    </row>
    <row r="1489" spans="1:6" ht="33.75">
      <c r="A1489" s="42">
        <v>44112001</v>
      </c>
      <c r="B1489" s="43" t="str">
        <f t="shared" ca="1" si="17"/>
        <v>Libretas de direcciones o repuestos</v>
      </c>
      <c r="C1489" s="42" t="s">
        <v>252</v>
      </c>
      <c r="D1489" s="42">
        <v>150</v>
      </c>
      <c r="E1489" s="45">
        <v>25</v>
      </c>
      <c r="F1489" s="46">
        <f t="shared" ca="1" si="18"/>
        <v>3750</v>
      </c>
    </row>
    <row r="1490" spans="1:6" ht="33.75">
      <c r="A1490" s="42">
        <v>14111507</v>
      </c>
      <c r="B1490" s="43" t="str">
        <f t="shared" ca="1" si="17"/>
        <v>Papel para impresora o fotocopiadora</v>
      </c>
      <c r="C1490" s="42" t="s">
        <v>274</v>
      </c>
      <c r="D1490" s="42">
        <v>20</v>
      </c>
      <c r="E1490" s="45">
        <v>167.24</v>
      </c>
      <c r="F1490" s="46">
        <f t="shared" ca="1" si="18"/>
        <v>3344.8</v>
      </c>
    </row>
    <row r="1491" spans="1:6">
      <c r="A1491" s="42">
        <v>12171703</v>
      </c>
      <c r="B1491" s="43" t="str">
        <f t="shared" ca="1" si="17"/>
        <v>Tintas</v>
      </c>
      <c r="C1491" s="42" t="s">
        <v>252</v>
      </c>
      <c r="D1491" s="42">
        <v>3</v>
      </c>
      <c r="E1491" s="45">
        <v>1700</v>
      </c>
      <c r="F1491" s="46">
        <f t="shared" ca="1" si="18"/>
        <v>5100</v>
      </c>
    </row>
    <row r="1492" spans="1:6" ht="22.5">
      <c r="A1492" s="42">
        <v>53121601</v>
      </c>
      <c r="B1492" s="43" t="str">
        <f t="shared" ca="1" si="17"/>
        <v>Bolsos o carteras</v>
      </c>
      <c r="C1492" s="42" t="s">
        <v>252</v>
      </c>
      <c r="D1492" s="42">
        <v>160</v>
      </c>
      <c r="E1492" s="45">
        <v>300</v>
      </c>
      <c r="F1492" s="46">
        <f t="shared" ca="1" si="18"/>
        <v>48000</v>
      </c>
    </row>
    <row r="1493" spans="1:6" ht="22.5">
      <c r="A1493" s="42">
        <v>55121804</v>
      </c>
      <c r="B1493" s="43" t="str">
        <f t="shared" ca="1" si="17"/>
        <v>Gafetes o porta gafetes</v>
      </c>
      <c r="C1493" s="42" t="s">
        <v>252</v>
      </c>
      <c r="D1493" s="42">
        <v>40</v>
      </c>
      <c r="E1493" s="45">
        <v>150</v>
      </c>
      <c r="F1493" s="46">
        <f t="shared" ca="1" si="18"/>
        <v>6000</v>
      </c>
    </row>
    <row r="1494" spans="1:6" ht="22.5">
      <c r="A1494" s="42">
        <v>49221510</v>
      </c>
      <c r="B1494" s="43" t="str">
        <f t="shared" ca="1" si="17"/>
        <v>Gorras deportivas</v>
      </c>
      <c r="C1494" s="42" t="s">
        <v>252</v>
      </c>
      <c r="D1494" s="42">
        <v>60</v>
      </c>
      <c r="E1494" s="45">
        <v>100</v>
      </c>
      <c r="F1494" s="46">
        <f t="shared" ca="1" si="18"/>
        <v>6000</v>
      </c>
    </row>
    <row r="1495" spans="1:6" ht="22.5">
      <c r="A1495" s="42">
        <v>53102301</v>
      </c>
      <c r="B1495" s="43" t="str">
        <f t="shared" ca="1" si="17"/>
        <v>Camisetas interiores</v>
      </c>
      <c r="C1495" s="42" t="s">
        <v>252</v>
      </c>
      <c r="D1495" s="42">
        <v>150</v>
      </c>
      <c r="E1495" s="45">
        <v>309.75</v>
      </c>
      <c r="F1495" s="46">
        <f t="shared" ca="1" si="18"/>
        <v>46462.5</v>
      </c>
    </row>
    <row r="1496" spans="1:6" ht="33.75">
      <c r="A1496" s="42">
        <v>60111004</v>
      </c>
      <c r="B1496" s="43" t="str">
        <f t="shared" ca="1" si="17"/>
        <v>Afiches de creación  personal</v>
      </c>
      <c r="C1496" s="42" t="s">
        <v>252</v>
      </c>
      <c r="D1496" s="42">
        <v>50</v>
      </c>
      <c r="E1496" s="45">
        <v>230</v>
      </c>
      <c r="F1496" s="46">
        <f t="shared" ca="1" si="18"/>
        <v>11500</v>
      </c>
    </row>
    <row r="1497" spans="1:6">
      <c r="A1497" s="50"/>
      <c r="B1497" s="50"/>
      <c r="C1497" s="50"/>
      <c r="D1497" s="50"/>
      <c r="E1497" s="51" t="s">
        <v>50</v>
      </c>
      <c r="F1497" s="48">
        <f ca="1">SUM(Table3120[MONTO TOTAL ESTIMADO])</f>
        <v>131657.29999999999</v>
      </c>
    </row>
    <row r="1498" spans="1:6" ht="17.25" thickBot="1">
      <c r="A1498" s="36"/>
      <c r="B1498" s="36"/>
      <c r="C1498" s="36"/>
      <c r="D1498" s="36"/>
      <c r="E1498" s="36"/>
      <c r="F1498" s="36"/>
    </row>
    <row r="1499" spans="1:6" ht="34.5" thickBot="1">
      <c r="A1499" s="1" t="s">
        <v>0</v>
      </c>
      <c r="B1499" s="1" t="s">
        <v>1</v>
      </c>
      <c r="C1499" s="1" t="s">
        <v>2</v>
      </c>
      <c r="D1499" s="1" t="s">
        <v>3</v>
      </c>
      <c r="E1499" s="1" t="s">
        <v>4</v>
      </c>
      <c r="F1499" s="1" t="s">
        <v>5</v>
      </c>
    </row>
    <row r="1500" spans="1:6" ht="15.75" thickBot="1">
      <c r="A1500" s="2" t="s">
        <v>281</v>
      </c>
      <c r="B1500" s="2" t="s">
        <v>285</v>
      </c>
      <c r="C1500" s="2" t="s">
        <v>40</v>
      </c>
      <c r="D1500" s="2" t="s">
        <v>62</v>
      </c>
      <c r="E1500" s="2" t="s">
        <v>42</v>
      </c>
      <c r="F1500" s="2"/>
    </row>
    <row r="1501" spans="1:6" ht="15.75" thickBot="1">
      <c r="A1501" s="3" t="s">
        <v>11</v>
      </c>
      <c r="B1501" s="4" t="s">
        <v>12</v>
      </c>
      <c r="C1501" s="5">
        <v>43383</v>
      </c>
      <c r="D1501" s="3" t="s">
        <v>13</v>
      </c>
      <c r="E1501" s="4" t="s">
        <v>14</v>
      </c>
      <c r="F1501" s="2"/>
    </row>
    <row r="1502" spans="1:6" ht="15.75" thickBot="1">
      <c r="A1502" s="6"/>
      <c r="B1502" s="4" t="s">
        <v>15</v>
      </c>
      <c r="C1502" s="7">
        <f>IF(C1501="","",IF(AND(MONTH(C1501)&gt;=1,MONTH(C1501)&lt;=3),1,IF(AND(MONTH(C1501)&gt;=4,MONTH(C1501)&lt;=6),2,IF(AND(MONTH(C1501)&gt;=7,MONTH(C1501)&lt;=9),3,4))))</f>
        <v>4</v>
      </c>
      <c r="D1502" s="6"/>
      <c r="E1502" s="4" t="s">
        <v>16</v>
      </c>
      <c r="F1502" s="2"/>
    </row>
    <row r="1503" spans="1:6" ht="15.75" thickBot="1">
      <c r="A1503" s="6"/>
      <c r="B1503" s="4" t="s">
        <v>17</v>
      </c>
      <c r="C1503" s="5">
        <v>43393</v>
      </c>
      <c r="D1503" s="6"/>
      <c r="E1503" s="4" t="s">
        <v>18</v>
      </c>
      <c r="F1503" s="2"/>
    </row>
    <row r="1504" spans="1:6" ht="15.75" thickBot="1">
      <c r="A1504" s="6"/>
      <c r="B1504" s="4" t="s">
        <v>15</v>
      </c>
      <c r="C1504" s="7">
        <f>IF(C1503="","",IF(AND(MONTH(C1503)&gt;=1,MONTH(C1503)&lt;=3),1,IF(AND(MONTH(C1503)&gt;=4,MONTH(C1503)&lt;=6),2,IF(AND(MONTH(C1503)&gt;=7,MONTH(C1503)&lt;=9),3,4))))</f>
        <v>4</v>
      </c>
      <c r="D1504" s="6"/>
      <c r="E1504" s="4" t="s">
        <v>19</v>
      </c>
      <c r="F1504" s="2"/>
    </row>
    <row r="1505" spans="1:6" ht="15.75" thickBot="1">
      <c r="A1505" s="50"/>
      <c r="B1505" s="50"/>
      <c r="C1505" s="50"/>
      <c r="D1505" s="50"/>
      <c r="E1505" s="50"/>
      <c r="F1505" s="50"/>
    </row>
    <row r="1506" spans="1:6" ht="15.75" thickBot="1">
      <c r="A1506" s="41" t="s">
        <v>43</v>
      </c>
      <c r="B1506" s="41" t="s">
        <v>44</v>
      </c>
      <c r="C1506" s="41" t="s">
        <v>45</v>
      </c>
      <c r="D1506" s="41" t="s">
        <v>46</v>
      </c>
      <c r="E1506" s="41" t="s">
        <v>47</v>
      </c>
      <c r="F1506" s="41" t="s">
        <v>48</v>
      </c>
    </row>
    <row r="1507" spans="1:6" ht="22.5">
      <c r="A1507" s="42">
        <v>82121503</v>
      </c>
      <c r="B1507" s="43" t="str">
        <f ca="1">IFERROR(INDEX(UNSPSCDes,MATCH(INDIRECT(ADDRESS(ROW(),COLUMN()-1,4)),UNSPSCCode,0)),"")</f>
        <v>Impresión digital</v>
      </c>
      <c r="C1507" s="42" t="s">
        <v>252</v>
      </c>
      <c r="D1507" s="42">
        <v>200</v>
      </c>
      <c r="E1507" s="45">
        <v>400</v>
      </c>
      <c r="F1507" s="46">
        <f ca="1">INDIRECT(ADDRESS(ROW(),COLUMN()-2,4))*INDIRECT(ADDRESS(ROW(),COLUMN()-1,4))</f>
        <v>80000</v>
      </c>
    </row>
    <row r="1508" spans="1:6">
      <c r="A1508" s="50"/>
      <c r="B1508" s="50"/>
      <c r="C1508" s="50"/>
      <c r="D1508" s="50"/>
      <c r="E1508" s="51" t="s">
        <v>50</v>
      </c>
      <c r="F1508" s="48">
        <f ca="1">SUM(Table3121[MONTO TOTAL ESTIMADO])</f>
        <v>80000</v>
      </c>
    </row>
    <row r="1509" spans="1:6" ht="17.25" thickBot="1">
      <c r="A1509" s="36"/>
      <c r="B1509" s="36"/>
      <c r="C1509" s="36"/>
      <c r="D1509" s="36"/>
      <c r="E1509" s="36"/>
      <c r="F1509" s="36"/>
    </row>
    <row r="1510" spans="1:6" ht="34.5" thickBot="1">
      <c r="A1510" s="1" t="s">
        <v>0</v>
      </c>
      <c r="B1510" s="1" t="s">
        <v>1</v>
      </c>
      <c r="C1510" s="1" t="s">
        <v>2</v>
      </c>
      <c r="D1510" s="1" t="s">
        <v>3</v>
      </c>
      <c r="E1510" s="1" t="s">
        <v>4</v>
      </c>
      <c r="F1510" s="1" t="s">
        <v>5</v>
      </c>
    </row>
    <row r="1511" spans="1:6" ht="15.75" thickBot="1">
      <c r="A1511" s="2" t="s">
        <v>286</v>
      </c>
      <c r="B1511" s="2" t="s">
        <v>287</v>
      </c>
      <c r="C1511" s="2" t="s">
        <v>8</v>
      </c>
      <c r="D1511" s="2" t="s">
        <v>53</v>
      </c>
      <c r="E1511" s="2" t="s">
        <v>63</v>
      </c>
      <c r="F1511" s="2"/>
    </row>
    <row r="1512" spans="1:6" ht="15.75" thickBot="1">
      <c r="A1512" s="3" t="s">
        <v>11</v>
      </c>
      <c r="B1512" s="4" t="s">
        <v>12</v>
      </c>
      <c r="C1512" s="5">
        <v>43405</v>
      </c>
      <c r="D1512" s="3" t="s">
        <v>13</v>
      </c>
      <c r="E1512" s="4" t="s">
        <v>14</v>
      </c>
      <c r="F1512" s="2"/>
    </row>
    <row r="1513" spans="1:6" ht="15.75" thickBot="1">
      <c r="A1513" s="6"/>
      <c r="B1513" s="4" t="s">
        <v>15</v>
      </c>
      <c r="C1513" s="7">
        <f>IF(C1512="","",IF(AND(MONTH(C1512)&gt;=1,MONTH(C1512)&lt;=3),1,IF(AND(MONTH(C1512)&gt;=4,MONTH(C1512)&lt;=6),2,IF(AND(MONTH(C1512)&gt;=7,MONTH(C1512)&lt;=9),3,4))))</f>
        <v>4</v>
      </c>
      <c r="D1513" s="6"/>
      <c r="E1513" s="4" t="s">
        <v>16</v>
      </c>
      <c r="F1513" s="2"/>
    </row>
    <row r="1514" spans="1:6" ht="15.75" thickBot="1">
      <c r="A1514" s="6"/>
      <c r="B1514" s="4" t="s">
        <v>17</v>
      </c>
      <c r="C1514" s="5">
        <v>43409</v>
      </c>
      <c r="D1514" s="6"/>
      <c r="E1514" s="4" t="s">
        <v>18</v>
      </c>
      <c r="F1514" s="2"/>
    </row>
    <row r="1515" spans="1:6" ht="15.75" thickBot="1">
      <c r="A1515" s="6"/>
      <c r="B1515" s="4" t="s">
        <v>15</v>
      </c>
      <c r="C1515" s="7">
        <f>IF(C1514="","",IF(AND(MONTH(C1514)&gt;=1,MONTH(C1514)&lt;=3),1,IF(AND(MONTH(C1514)&gt;=4,MONTH(C1514)&lt;=6),2,IF(AND(MONTH(C1514)&gt;=7,MONTH(C1514)&lt;=9),3,4))))</f>
        <v>4</v>
      </c>
      <c r="D1515" s="6"/>
      <c r="E1515" s="4" t="s">
        <v>19</v>
      </c>
      <c r="F1515" s="2"/>
    </row>
    <row r="1516" spans="1:6" ht="15.75" thickBot="1">
      <c r="A1516" s="50"/>
      <c r="B1516" s="50"/>
      <c r="C1516" s="50"/>
      <c r="D1516" s="50"/>
      <c r="E1516" s="50"/>
      <c r="F1516" s="50"/>
    </row>
    <row r="1517" spans="1:6" ht="15.75" thickBot="1">
      <c r="A1517" s="41" t="s">
        <v>43</v>
      </c>
      <c r="B1517" s="41" t="s">
        <v>44</v>
      </c>
      <c r="C1517" s="41" t="s">
        <v>45</v>
      </c>
      <c r="D1517" s="41" t="s">
        <v>46</v>
      </c>
      <c r="E1517" s="41" t="s">
        <v>47</v>
      </c>
      <c r="F1517" s="41" t="s">
        <v>48</v>
      </c>
    </row>
    <row r="1518" spans="1:6" ht="33.75">
      <c r="A1518" s="42">
        <v>78101803</v>
      </c>
      <c r="B1518" s="43" t="str">
        <f ca="1">IFERROR(INDEX(UNSPSCDes,MATCH(INDIRECT(ADDRESS(ROW(),COLUMN()-1,4)),UNSPSCCode,0)),"")</f>
        <v>Servicios de transporte de vehículos</v>
      </c>
      <c r="C1518" s="42" t="s">
        <v>252</v>
      </c>
      <c r="D1518" s="42">
        <v>2</v>
      </c>
      <c r="E1518" s="45">
        <v>60000</v>
      </c>
      <c r="F1518" s="46">
        <f ca="1">INDIRECT(ADDRESS(ROW(),COLUMN()-2,4))*INDIRECT(ADDRESS(ROW(),COLUMN()-1,4))</f>
        <v>120000</v>
      </c>
    </row>
    <row r="1519" spans="1:6">
      <c r="A1519" s="50"/>
      <c r="B1519" s="50"/>
      <c r="C1519" s="50"/>
      <c r="D1519" s="50"/>
      <c r="E1519" s="51" t="s">
        <v>50</v>
      </c>
      <c r="F1519" s="48">
        <f ca="1">SUM(Table3122[MONTO TOTAL ESTIMADO])</f>
        <v>120000</v>
      </c>
    </row>
    <row r="1520" spans="1:6" ht="17.25" thickBot="1">
      <c r="A1520" s="36"/>
      <c r="B1520" s="36"/>
      <c r="C1520" s="36"/>
      <c r="D1520" s="36"/>
      <c r="E1520" s="36"/>
      <c r="F1520" s="36"/>
    </row>
    <row r="1521" spans="1:6" ht="34.5" thickBot="1">
      <c r="A1521" s="1" t="s">
        <v>0</v>
      </c>
      <c r="B1521" s="1" t="s">
        <v>1</v>
      </c>
      <c r="C1521" s="1" t="s">
        <v>2</v>
      </c>
      <c r="D1521" s="1" t="s">
        <v>3</v>
      </c>
      <c r="E1521" s="1" t="s">
        <v>4</v>
      </c>
      <c r="F1521" s="1" t="s">
        <v>5</v>
      </c>
    </row>
    <row r="1522" spans="1:6" ht="15.75" thickBot="1">
      <c r="A1522" s="2" t="s">
        <v>193</v>
      </c>
      <c r="B1522" s="2" t="s">
        <v>288</v>
      </c>
      <c r="C1522" s="2" t="s">
        <v>40</v>
      </c>
      <c r="D1522" s="2" t="s">
        <v>62</v>
      </c>
      <c r="E1522" s="2" t="s">
        <v>63</v>
      </c>
      <c r="F1522" s="2"/>
    </row>
    <row r="1523" spans="1:6" ht="15.75" thickBot="1">
      <c r="A1523" s="3" t="s">
        <v>11</v>
      </c>
      <c r="B1523" s="4" t="s">
        <v>12</v>
      </c>
      <c r="C1523" s="5">
        <v>43105</v>
      </c>
      <c r="D1523" s="3" t="s">
        <v>13</v>
      </c>
      <c r="E1523" s="4" t="s">
        <v>14</v>
      </c>
      <c r="F1523" s="2"/>
    </row>
    <row r="1524" spans="1:6" ht="15.75" thickBot="1">
      <c r="A1524" s="6"/>
      <c r="B1524" s="4" t="s">
        <v>15</v>
      </c>
      <c r="C1524" s="7">
        <f>IF(C1523="","",IF(AND(MONTH(C1523)&gt;=1,MONTH(C1523)&lt;=3),1,IF(AND(MONTH(C1523)&gt;=4,MONTH(C1523)&lt;=6),2,IF(AND(MONTH(C1523)&gt;=7,MONTH(C1523)&lt;=9),3,4))))</f>
        <v>1</v>
      </c>
      <c r="D1524" s="6"/>
      <c r="E1524" s="4" t="s">
        <v>16</v>
      </c>
      <c r="F1524" s="2"/>
    </row>
    <row r="1525" spans="1:6" ht="15.75" thickBot="1">
      <c r="A1525" s="6"/>
      <c r="B1525" s="4" t="s">
        <v>17</v>
      </c>
      <c r="C1525" s="5">
        <v>43118</v>
      </c>
      <c r="D1525" s="6"/>
      <c r="E1525" s="4" t="s">
        <v>18</v>
      </c>
      <c r="F1525" s="2"/>
    </row>
    <row r="1526" spans="1:6" ht="15.75" thickBot="1">
      <c r="A1526" s="6"/>
      <c r="B1526" s="4" t="s">
        <v>15</v>
      </c>
      <c r="C1526" s="7">
        <f>IF(C1525="","",IF(AND(MONTH(C1525)&gt;=1,MONTH(C1525)&lt;=3),1,IF(AND(MONTH(C1525)&gt;=4,MONTH(C1525)&lt;=6),2,IF(AND(MONTH(C1525)&gt;=7,MONTH(C1525)&lt;=9),3,4))))</f>
        <v>1</v>
      </c>
      <c r="D1526" s="6"/>
      <c r="E1526" s="4" t="s">
        <v>19</v>
      </c>
      <c r="F1526" s="2"/>
    </row>
    <row r="1527" spans="1:6" ht="15.75" thickBot="1">
      <c r="A1527" s="50"/>
      <c r="B1527" s="50"/>
      <c r="C1527" s="50"/>
      <c r="D1527" s="50"/>
      <c r="E1527" s="50"/>
      <c r="F1527" s="50"/>
    </row>
    <row r="1528" spans="1:6" ht="15.75" thickBot="1">
      <c r="A1528" s="41" t="s">
        <v>43</v>
      </c>
      <c r="B1528" s="41" t="s">
        <v>44</v>
      </c>
      <c r="C1528" s="41" t="s">
        <v>45</v>
      </c>
      <c r="D1528" s="41" t="s">
        <v>46</v>
      </c>
      <c r="E1528" s="41" t="s">
        <v>47</v>
      </c>
      <c r="F1528" s="41" t="s">
        <v>48</v>
      </c>
    </row>
    <row r="1529" spans="1:6">
      <c r="A1529" s="42">
        <v>44122003</v>
      </c>
      <c r="B1529" s="43" t="str">
        <f t="shared" ref="B1529:B1544" ca="1" si="19">IFERROR(INDEX(UNSPSCDes,MATCH(INDIRECT(ADDRESS(ROW(),COLUMN()-1,4)),UNSPSCCode,0)),"")</f>
        <v>Carpetas</v>
      </c>
      <c r="C1529" s="42" t="s">
        <v>289</v>
      </c>
      <c r="D1529" s="42">
        <v>35</v>
      </c>
      <c r="E1529" s="45">
        <v>887.36</v>
      </c>
      <c r="F1529" s="46">
        <f t="shared" ref="F1529:F1544" ca="1" si="20">INDIRECT(ADDRESS(ROW(),COLUMN()-2,4))*INDIRECT(ADDRESS(ROW(),COLUMN()-1,4))</f>
        <v>31057.600000000002</v>
      </c>
    </row>
    <row r="1530" spans="1:6" ht="22.5">
      <c r="A1530" s="42">
        <v>60101312</v>
      </c>
      <c r="B1530" s="43" t="str">
        <f t="shared" ca="1" si="19"/>
        <v>Cajas de adhesivos</v>
      </c>
      <c r="C1530" s="42" t="s">
        <v>275</v>
      </c>
      <c r="D1530" s="42">
        <v>5</v>
      </c>
      <c r="E1530" s="45">
        <v>740</v>
      </c>
      <c r="F1530" s="46">
        <f t="shared" ca="1" si="20"/>
        <v>3700</v>
      </c>
    </row>
    <row r="1531" spans="1:6" ht="33.75">
      <c r="A1531" s="42">
        <v>44112005</v>
      </c>
      <c r="B1531" s="43" t="str">
        <f t="shared" ca="1" si="19"/>
        <v>Libretas de citas o repuestos</v>
      </c>
      <c r="C1531" s="42" t="s">
        <v>252</v>
      </c>
      <c r="D1531" s="42">
        <v>10</v>
      </c>
      <c r="E1531" s="45">
        <v>130</v>
      </c>
      <c r="F1531" s="46">
        <f t="shared" ca="1" si="20"/>
        <v>1300</v>
      </c>
    </row>
    <row r="1532" spans="1:6">
      <c r="A1532" s="42">
        <v>44121503</v>
      </c>
      <c r="B1532" s="43" t="str">
        <f t="shared" ca="1" si="19"/>
        <v>Sobres</v>
      </c>
      <c r="C1532" s="42" t="s">
        <v>275</v>
      </c>
      <c r="D1532" s="42">
        <v>10</v>
      </c>
      <c r="E1532" s="45">
        <v>407.5</v>
      </c>
      <c r="F1532" s="46">
        <f t="shared" ca="1" si="20"/>
        <v>4075</v>
      </c>
    </row>
    <row r="1533" spans="1:6">
      <c r="A1533" s="42">
        <v>44122010</v>
      </c>
      <c r="B1533" s="43" t="str">
        <f t="shared" ca="1" si="19"/>
        <v>Separadores</v>
      </c>
      <c r="C1533" s="42" t="s">
        <v>275</v>
      </c>
      <c r="D1533" s="42">
        <v>5</v>
      </c>
      <c r="E1533" s="45">
        <v>1100</v>
      </c>
      <c r="F1533" s="46">
        <f t="shared" ca="1" si="20"/>
        <v>5500</v>
      </c>
    </row>
    <row r="1534" spans="1:6" ht="33.75">
      <c r="A1534" s="42">
        <v>14111507</v>
      </c>
      <c r="B1534" s="43" t="str">
        <f t="shared" ca="1" si="19"/>
        <v>Papel para impresora o fotocopiadora</v>
      </c>
      <c r="C1534" s="42" t="s">
        <v>274</v>
      </c>
      <c r="D1534" s="42">
        <v>250</v>
      </c>
      <c r="E1534" s="45">
        <v>145</v>
      </c>
      <c r="F1534" s="46">
        <f t="shared" ca="1" si="20"/>
        <v>36250</v>
      </c>
    </row>
    <row r="1535" spans="1:6" ht="33.75">
      <c r="A1535" s="42">
        <v>14111507</v>
      </c>
      <c r="B1535" s="43" t="str">
        <f t="shared" ca="1" si="19"/>
        <v>Papel para impresora o fotocopiadora</v>
      </c>
      <c r="C1535" s="42" t="s">
        <v>274</v>
      </c>
      <c r="D1535" s="42">
        <v>25</v>
      </c>
      <c r="E1535" s="45">
        <v>185.5</v>
      </c>
      <c r="F1535" s="46">
        <f t="shared" ca="1" si="20"/>
        <v>4637.5</v>
      </c>
    </row>
    <row r="1536" spans="1:6" ht="33.75">
      <c r="A1536" s="42">
        <v>14111507</v>
      </c>
      <c r="B1536" s="43" t="str">
        <f t="shared" ca="1" si="19"/>
        <v>Papel para impresora o fotocopiadora</v>
      </c>
      <c r="C1536" s="42" t="s">
        <v>274</v>
      </c>
      <c r="D1536" s="42">
        <v>5</v>
      </c>
      <c r="E1536" s="45">
        <v>2200</v>
      </c>
      <c r="F1536" s="46">
        <f t="shared" ca="1" si="20"/>
        <v>11000</v>
      </c>
    </row>
    <row r="1537" spans="1:6">
      <c r="A1537" s="42">
        <v>44121701</v>
      </c>
      <c r="B1537" s="43" t="str">
        <f t="shared" ca="1" si="19"/>
        <v>Bolígrafos</v>
      </c>
      <c r="C1537" s="42" t="s">
        <v>275</v>
      </c>
      <c r="D1537" s="42">
        <v>20</v>
      </c>
      <c r="E1537" s="45">
        <v>160</v>
      </c>
      <c r="F1537" s="46">
        <f t="shared" ca="1" si="20"/>
        <v>3200</v>
      </c>
    </row>
    <row r="1538" spans="1:6" ht="22.5">
      <c r="A1538" s="42">
        <v>43232503</v>
      </c>
      <c r="B1538" s="43" t="str">
        <f t="shared" ca="1" si="19"/>
        <v>Correctores de ortografía</v>
      </c>
      <c r="C1538" s="42" t="s">
        <v>252</v>
      </c>
      <c r="D1538" s="42">
        <v>36</v>
      </c>
      <c r="E1538" s="45">
        <v>35</v>
      </c>
      <c r="F1538" s="46">
        <f t="shared" ca="1" si="20"/>
        <v>1260</v>
      </c>
    </row>
    <row r="1539" spans="1:6">
      <c r="A1539" s="42">
        <v>44122011</v>
      </c>
      <c r="B1539" s="43" t="str">
        <f t="shared" ca="1" si="19"/>
        <v>Folders</v>
      </c>
      <c r="C1539" s="42" t="s">
        <v>275</v>
      </c>
      <c r="D1539" s="42">
        <v>20</v>
      </c>
      <c r="E1539" s="45">
        <v>185</v>
      </c>
      <c r="F1539" s="46">
        <f t="shared" ca="1" si="20"/>
        <v>3700</v>
      </c>
    </row>
    <row r="1540" spans="1:6" ht="56.25">
      <c r="A1540" s="42">
        <v>52151504</v>
      </c>
      <c r="B1540" s="43" t="str">
        <f t="shared" ca="1" si="19"/>
        <v>Tazas o vasos o tapas desechables para uso doméstico</v>
      </c>
      <c r="C1540" s="42" t="s">
        <v>275</v>
      </c>
      <c r="D1540" s="42">
        <v>17</v>
      </c>
      <c r="E1540" s="45">
        <v>2797</v>
      </c>
      <c r="F1540" s="46">
        <f t="shared" ca="1" si="20"/>
        <v>47549</v>
      </c>
    </row>
    <row r="1541" spans="1:6" ht="45">
      <c r="A1541" s="42">
        <v>55111514</v>
      </c>
      <c r="B1541" s="43" t="str">
        <f t="shared" ca="1" si="19"/>
        <v>Películas de cine en discos de video digital dvd</v>
      </c>
      <c r="C1541" s="42" t="s">
        <v>252</v>
      </c>
      <c r="D1541" s="42">
        <v>230</v>
      </c>
      <c r="E1541" s="45">
        <v>350</v>
      </c>
      <c r="F1541" s="46">
        <f t="shared" ca="1" si="20"/>
        <v>80500</v>
      </c>
    </row>
    <row r="1542" spans="1:6" ht="22.5">
      <c r="A1542" s="42">
        <v>44103105</v>
      </c>
      <c r="B1542" s="43" t="str">
        <f t="shared" ca="1" si="19"/>
        <v>Cartuchos de tinta</v>
      </c>
      <c r="C1542" s="42" t="s">
        <v>252</v>
      </c>
      <c r="D1542" s="42">
        <v>1</v>
      </c>
      <c r="E1542" s="45">
        <v>17346</v>
      </c>
      <c r="F1542" s="46">
        <f t="shared" ca="1" si="20"/>
        <v>17346</v>
      </c>
    </row>
    <row r="1543" spans="1:6" ht="45">
      <c r="A1543" s="42">
        <v>44103101</v>
      </c>
      <c r="B1543" s="43" t="str">
        <f t="shared" ca="1" si="19"/>
        <v>Correas de impresoras, fax o fotocopiadoras</v>
      </c>
      <c r="C1543" s="42" t="s">
        <v>252</v>
      </c>
      <c r="D1543" s="42">
        <v>1</v>
      </c>
      <c r="E1543" s="45">
        <v>31742</v>
      </c>
      <c r="F1543" s="46">
        <f t="shared" ca="1" si="20"/>
        <v>31742</v>
      </c>
    </row>
    <row r="1544" spans="1:6" ht="56.25">
      <c r="A1544" s="42">
        <v>44111515</v>
      </c>
      <c r="B1544" s="43" t="str">
        <f t="shared" ca="1" si="19"/>
        <v>Cajas u organizadores de almacenamiento de archivos</v>
      </c>
      <c r="C1544" s="42" t="s">
        <v>252</v>
      </c>
      <c r="D1544" s="42">
        <v>80</v>
      </c>
      <c r="E1544" s="45">
        <v>95</v>
      </c>
      <c r="F1544" s="46">
        <f t="shared" ca="1" si="20"/>
        <v>7600</v>
      </c>
    </row>
    <row r="1545" spans="1:6">
      <c r="A1545" s="50"/>
      <c r="B1545" s="50"/>
      <c r="C1545" s="50"/>
      <c r="D1545" s="50"/>
      <c r="E1545" s="51" t="s">
        <v>50</v>
      </c>
      <c r="F1545" s="48">
        <f ca="1">SUM(Table3123[MONTO TOTAL ESTIMADO])</f>
        <v>290417.09999999998</v>
      </c>
    </row>
    <row r="1546" spans="1:6" ht="17.25" thickBot="1">
      <c r="A1546" s="36"/>
      <c r="B1546" s="36"/>
      <c r="C1546" s="36"/>
      <c r="D1546" s="36"/>
      <c r="E1546" s="36"/>
      <c r="F1546" s="36"/>
    </row>
    <row r="1547" spans="1:6" ht="34.5" thickBot="1">
      <c r="A1547" s="1" t="s">
        <v>0</v>
      </c>
      <c r="B1547" s="1" t="s">
        <v>1</v>
      </c>
      <c r="C1547" s="1" t="s">
        <v>2</v>
      </c>
      <c r="D1547" s="1" t="s">
        <v>3</v>
      </c>
      <c r="E1547" s="1" t="s">
        <v>4</v>
      </c>
      <c r="F1547" s="1" t="s">
        <v>5</v>
      </c>
    </row>
    <row r="1548" spans="1:6" ht="15.75" thickBot="1">
      <c r="A1548" s="2" t="s">
        <v>290</v>
      </c>
      <c r="B1548" s="2" t="s">
        <v>291</v>
      </c>
      <c r="C1548" s="2" t="s">
        <v>40</v>
      </c>
      <c r="D1548" s="2" t="s">
        <v>62</v>
      </c>
      <c r="E1548" s="2" t="s">
        <v>63</v>
      </c>
      <c r="F1548" s="2"/>
    </row>
    <row r="1549" spans="1:6" ht="15.75" thickBot="1">
      <c r="A1549" s="3" t="s">
        <v>11</v>
      </c>
      <c r="B1549" s="4" t="s">
        <v>12</v>
      </c>
      <c r="C1549" s="5">
        <v>43136</v>
      </c>
      <c r="D1549" s="3" t="s">
        <v>13</v>
      </c>
      <c r="E1549" s="4" t="s">
        <v>14</v>
      </c>
      <c r="F1549" s="2"/>
    </row>
    <row r="1550" spans="1:6" ht="15.75" thickBot="1">
      <c r="A1550" s="6"/>
      <c r="B1550" s="4" t="s">
        <v>15</v>
      </c>
      <c r="C1550" s="7">
        <f>IF(C1549="","",IF(AND(MONTH(C1549)&gt;=1,MONTH(C1549)&lt;=3),1,IF(AND(MONTH(C1549)&gt;=4,MONTH(C1549)&lt;=6),2,IF(AND(MONTH(C1549)&gt;=7,MONTH(C1549)&lt;=9),3,4))))</f>
        <v>1</v>
      </c>
      <c r="D1550" s="6"/>
      <c r="E1550" s="4" t="s">
        <v>16</v>
      </c>
      <c r="F1550" s="2"/>
    </row>
    <row r="1551" spans="1:6" ht="15.75" thickBot="1">
      <c r="A1551" s="6"/>
      <c r="B1551" s="4" t="s">
        <v>17</v>
      </c>
      <c r="C1551" s="5">
        <v>43146</v>
      </c>
      <c r="D1551" s="6"/>
      <c r="E1551" s="4" t="s">
        <v>18</v>
      </c>
      <c r="F1551" s="2"/>
    </row>
    <row r="1552" spans="1:6" ht="15.75" thickBot="1">
      <c r="A1552" s="6"/>
      <c r="B1552" s="4" t="s">
        <v>15</v>
      </c>
      <c r="C1552" s="7">
        <f>IF(C1551="","",IF(AND(MONTH(C1551)&gt;=1,MONTH(C1551)&lt;=3),1,IF(AND(MONTH(C1551)&gt;=4,MONTH(C1551)&lt;=6),2,IF(AND(MONTH(C1551)&gt;=7,MONTH(C1551)&lt;=9),3,4))))</f>
        <v>1</v>
      </c>
      <c r="D1552" s="6"/>
      <c r="E1552" s="4" t="s">
        <v>19</v>
      </c>
      <c r="F1552" s="2"/>
    </row>
    <row r="1553" spans="1:6" ht="15.75" thickBot="1">
      <c r="A1553" s="50"/>
      <c r="B1553" s="50"/>
      <c r="C1553" s="50"/>
      <c r="D1553" s="50"/>
      <c r="E1553" s="50"/>
      <c r="F1553" s="50"/>
    </row>
    <row r="1554" spans="1:6" ht="15.75" thickBot="1">
      <c r="A1554" s="41" t="s">
        <v>43</v>
      </c>
      <c r="B1554" s="41" t="s">
        <v>44</v>
      </c>
      <c r="C1554" s="41" t="s">
        <v>45</v>
      </c>
      <c r="D1554" s="41" t="s">
        <v>46</v>
      </c>
      <c r="E1554" s="41" t="s">
        <v>47</v>
      </c>
      <c r="F1554" s="41" t="s">
        <v>48</v>
      </c>
    </row>
    <row r="1555" spans="1:6" ht="33.75">
      <c r="A1555" s="42">
        <v>60121531</v>
      </c>
      <c r="B1555" s="43" t="str">
        <f t="shared" ref="B1555:B1564" ca="1" si="21">IFERROR(INDEX(UNSPSCDes,MATCH(INDIRECT(ADDRESS(ROW(),COLUMN()-1,4)),UNSPSCCode,0)),"")</f>
        <v>Borradores de lápices color rosados</v>
      </c>
      <c r="C1555" s="42" t="s">
        <v>252</v>
      </c>
      <c r="D1555" s="42">
        <v>10</v>
      </c>
      <c r="E1555" s="45">
        <v>315</v>
      </c>
      <c r="F1555" s="46">
        <f t="shared" ref="F1555:F1564" ca="1" si="22">INDIRECT(ADDRESS(ROW(),COLUMN()-2,4))*INDIRECT(ADDRESS(ROW(),COLUMN()-1,4))</f>
        <v>3150</v>
      </c>
    </row>
    <row r="1556" spans="1:6" ht="33.75">
      <c r="A1556" s="42">
        <v>44101604</v>
      </c>
      <c r="B1556" s="43" t="str">
        <f t="shared" ca="1" si="21"/>
        <v>Tablas de protección de base</v>
      </c>
      <c r="C1556" s="42" t="s">
        <v>252</v>
      </c>
      <c r="D1556" s="42">
        <v>320</v>
      </c>
      <c r="E1556" s="45">
        <v>90</v>
      </c>
      <c r="F1556" s="46">
        <f t="shared" ca="1" si="22"/>
        <v>28800</v>
      </c>
    </row>
    <row r="1557" spans="1:6" ht="33.75">
      <c r="A1557" s="42">
        <v>14111507</v>
      </c>
      <c r="B1557" s="43" t="str">
        <f t="shared" ca="1" si="21"/>
        <v>Papel para impresora o fotocopiadora</v>
      </c>
      <c r="C1557" s="42" t="s">
        <v>274</v>
      </c>
      <c r="D1557" s="42">
        <v>10</v>
      </c>
      <c r="E1557" s="45">
        <v>180</v>
      </c>
      <c r="F1557" s="46">
        <f t="shared" ca="1" si="22"/>
        <v>1800</v>
      </c>
    </row>
    <row r="1558" spans="1:6">
      <c r="A1558" s="42">
        <v>44121701</v>
      </c>
      <c r="B1558" s="43" t="str">
        <f t="shared" ca="1" si="21"/>
        <v>Bolígrafos</v>
      </c>
      <c r="C1558" s="42" t="s">
        <v>275</v>
      </c>
      <c r="D1558" s="42">
        <v>150</v>
      </c>
      <c r="E1558" s="45">
        <v>65</v>
      </c>
      <c r="F1558" s="46">
        <f t="shared" ca="1" si="22"/>
        <v>9750</v>
      </c>
    </row>
    <row r="1559" spans="1:6">
      <c r="A1559" s="42">
        <v>44121716</v>
      </c>
      <c r="B1559" s="43" t="str">
        <f t="shared" ca="1" si="21"/>
        <v>Resaltadores</v>
      </c>
      <c r="C1559" s="42" t="s">
        <v>275</v>
      </c>
      <c r="D1559" s="42">
        <v>10</v>
      </c>
      <c r="E1559" s="45">
        <v>40</v>
      </c>
      <c r="F1559" s="46">
        <f t="shared" ca="1" si="22"/>
        <v>400</v>
      </c>
    </row>
    <row r="1560" spans="1:6">
      <c r="A1560" s="42">
        <v>44122011</v>
      </c>
      <c r="B1560" s="43" t="str">
        <f t="shared" ca="1" si="21"/>
        <v>Folders</v>
      </c>
      <c r="C1560" s="42" t="s">
        <v>275</v>
      </c>
      <c r="D1560" s="42">
        <v>5</v>
      </c>
      <c r="E1560" s="45">
        <v>245</v>
      </c>
      <c r="F1560" s="46">
        <f t="shared" ca="1" si="22"/>
        <v>1225</v>
      </c>
    </row>
    <row r="1561" spans="1:6" ht="33.75">
      <c r="A1561" s="42">
        <v>44121507</v>
      </c>
      <c r="B1561" s="43" t="str">
        <f t="shared" ca="1" si="21"/>
        <v>Sobres de catálogos o de gancho</v>
      </c>
      <c r="C1561" s="42" t="s">
        <v>274</v>
      </c>
      <c r="D1561" s="42">
        <v>5</v>
      </c>
      <c r="E1561" s="45">
        <v>200</v>
      </c>
      <c r="F1561" s="46">
        <f t="shared" ca="1" si="22"/>
        <v>1000</v>
      </c>
    </row>
    <row r="1562" spans="1:6" ht="33.75">
      <c r="A1562" s="42">
        <v>44121710</v>
      </c>
      <c r="B1562" s="43" t="str">
        <f t="shared" ca="1" si="21"/>
        <v>Tiza para escribir o accesorios</v>
      </c>
      <c r="C1562" s="42" t="s">
        <v>275</v>
      </c>
      <c r="D1562" s="42">
        <v>10</v>
      </c>
      <c r="E1562" s="45">
        <v>140</v>
      </c>
      <c r="F1562" s="46">
        <f t="shared" ca="1" si="22"/>
        <v>1400</v>
      </c>
    </row>
    <row r="1563" spans="1:6" ht="22.5">
      <c r="A1563" s="42">
        <v>24111503</v>
      </c>
      <c r="B1563" s="43" t="str">
        <f t="shared" ca="1" si="21"/>
        <v>Bolsas plásticas</v>
      </c>
      <c r="C1563" s="42" t="s">
        <v>252</v>
      </c>
      <c r="D1563" s="42">
        <v>1000</v>
      </c>
      <c r="E1563" s="45">
        <v>31.03</v>
      </c>
      <c r="F1563" s="46">
        <f t="shared" ca="1" si="22"/>
        <v>31030</v>
      </c>
    </row>
    <row r="1564" spans="1:6" ht="22.5">
      <c r="A1564" s="42">
        <v>55121606</v>
      </c>
      <c r="B1564" s="43" t="str">
        <f t="shared" ca="1" si="21"/>
        <v>Etiquetas auto adhesivas</v>
      </c>
      <c r="C1564" s="42" t="s">
        <v>252</v>
      </c>
      <c r="D1564" s="42">
        <v>15000</v>
      </c>
      <c r="E1564" s="45">
        <v>4</v>
      </c>
      <c r="F1564" s="46">
        <f t="shared" ca="1" si="22"/>
        <v>60000</v>
      </c>
    </row>
    <row r="1565" spans="1:6">
      <c r="A1565" s="50"/>
      <c r="B1565" s="50"/>
      <c r="C1565" s="50"/>
      <c r="D1565" s="50"/>
      <c r="E1565" s="51" t="s">
        <v>50</v>
      </c>
      <c r="F1565" s="48">
        <f ca="1">SUM(Table3124[MONTO TOTAL ESTIMADO])</f>
        <v>138555</v>
      </c>
    </row>
    <row r="1566" spans="1:6" ht="17.25" thickBot="1">
      <c r="A1566" s="36"/>
      <c r="B1566" s="36"/>
      <c r="C1566" s="36"/>
      <c r="D1566" s="36"/>
      <c r="E1566" s="36"/>
      <c r="F1566" s="36"/>
    </row>
    <row r="1567" spans="1:6" ht="34.5" thickBot="1">
      <c r="A1567" s="1" t="s">
        <v>0</v>
      </c>
      <c r="B1567" s="1" t="s">
        <v>1</v>
      </c>
      <c r="C1567" s="1" t="s">
        <v>2</v>
      </c>
      <c r="D1567" s="1" t="s">
        <v>3</v>
      </c>
      <c r="E1567" s="1" t="s">
        <v>4</v>
      </c>
      <c r="F1567" s="1" t="s">
        <v>5</v>
      </c>
    </row>
    <row r="1568" spans="1:6" ht="15.75" thickBot="1">
      <c r="A1568" s="2" t="s">
        <v>292</v>
      </c>
      <c r="B1568" s="2" t="s">
        <v>293</v>
      </c>
      <c r="C1568" s="2" t="s">
        <v>40</v>
      </c>
      <c r="D1568" s="2" t="s">
        <v>62</v>
      </c>
      <c r="E1568" s="2" t="s">
        <v>42</v>
      </c>
      <c r="F1568" s="2"/>
    </row>
    <row r="1569" spans="1:6" ht="15.75" thickBot="1">
      <c r="A1569" s="3" t="s">
        <v>11</v>
      </c>
      <c r="B1569" s="4" t="s">
        <v>12</v>
      </c>
      <c r="C1569" s="5">
        <v>43133</v>
      </c>
      <c r="D1569" s="3" t="s">
        <v>13</v>
      </c>
      <c r="E1569" s="4" t="s">
        <v>14</v>
      </c>
      <c r="F1569" s="2"/>
    </row>
    <row r="1570" spans="1:6" ht="15.75" thickBot="1">
      <c r="A1570" s="6"/>
      <c r="B1570" s="4" t="s">
        <v>15</v>
      </c>
      <c r="C1570" s="7">
        <f>IF(C1569="","",IF(AND(MONTH(C1569)&gt;=1,MONTH(C1569)&lt;=3),1,IF(AND(MONTH(C1569)&gt;=4,MONTH(C1569)&lt;=6),2,IF(AND(MONTH(C1569)&gt;=7,MONTH(C1569)&lt;=9),3,4))))</f>
        <v>1</v>
      </c>
      <c r="D1570" s="6"/>
      <c r="E1570" s="4" t="s">
        <v>16</v>
      </c>
      <c r="F1570" s="2"/>
    </row>
    <row r="1571" spans="1:6" ht="15.75" thickBot="1">
      <c r="A1571" s="6"/>
      <c r="B1571" s="4" t="s">
        <v>17</v>
      </c>
      <c r="C1571" s="5">
        <v>43141</v>
      </c>
      <c r="D1571" s="6"/>
      <c r="E1571" s="4" t="s">
        <v>18</v>
      </c>
      <c r="F1571" s="2"/>
    </row>
    <row r="1572" spans="1:6" ht="15.75" thickBot="1">
      <c r="A1572" s="6"/>
      <c r="B1572" s="4" t="s">
        <v>15</v>
      </c>
      <c r="C1572" s="7">
        <f>IF(C1571="","",IF(AND(MONTH(C1571)&gt;=1,MONTH(C1571)&lt;=3),1,IF(AND(MONTH(C1571)&gt;=4,MONTH(C1571)&lt;=6),2,IF(AND(MONTH(C1571)&gt;=7,MONTH(C1571)&lt;=9),3,4))))</f>
        <v>1</v>
      </c>
      <c r="D1572" s="6"/>
      <c r="E1572" s="4" t="s">
        <v>19</v>
      </c>
      <c r="F1572" s="2"/>
    </row>
    <row r="1573" spans="1:6" ht="15.75" thickBot="1">
      <c r="A1573" s="50"/>
      <c r="B1573" s="50"/>
      <c r="C1573" s="50"/>
      <c r="D1573" s="50"/>
      <c r="E1573" s="50"/>
      <c r="F1573" s="50"/>
    </row>
    <row r="1574" spans="1:6" ht="15.75" thickBot="1">
      <c r="A1574" s="41" t="s">
        <v>43</v>
      </c>
      <c r="B1574" s="41" t="s">
        <v>44</v>
      </c>
      <c r="C1574" s="41" t="s">
        <v>45</v>
      </c>
      <c r="D1574" s="41" t="s">
        <v>46</v>
      </c>
      <c r="E1574" s="41" t="s">
        <v>47</v>
      </c>
      <c r="F1574" s="41" t="s">
        <v>48</v>
      </c>
    </row>
    <row r="1575" spans="1:6">
      <c r="A1575" s="42">
        <v>51142610</v>
      </c>
      <c r="B1575" s="43" t="str">
        <f ca="1">IFERROR(INDEX(UNSPSCDes,MATCH(INDIRECT(ADDRESS(ROW(),COLUMN()-1,4)),UNSPSCCode,0)),"")</f>
        <v>Cafeína</v>
      </c>
      <c r="C1575" s="42" t="s">
        <v>252</v>
      </c>
      <c r="D1575" s="42">
        <v>80</v>
      </c>
      <c r="E1575" s="45">
        <v>175</v>
      </c>
      <c r="F1575" s="46">
        <f ca="1">INDIRECT(ADDRESS(ROW(),COLUMN()-2,4))*INDIRECT(ADDRESS(ROW(),COLUMN()-1,4))</f>
        <v>14000</v>
      </c>
    </row>
    <row r="1576" spans="1:6" ht="45">
      <c r="A1576" s="42">
        <v>50161509</v>
      </c>
      <c r="B1576" s="43" t="str">
        <f ca="1">IFERROR(INDEX(UNSPSCDes,MATCH(INDIRECT(ADDRESS(ROW(),COLUMN()-1,4)),UNSPSCCode,0)),"")</f>
        <v>Azucares naturales o productos endulzantes</v>
      </c>
      <c r="C1576" s="42" t="s">
        <v>294</v>
      </c>
      <c r="D1576" s="42">
        <v>30</v>
      </c>
      <c r="E1576" s="45">
        <v>115</v>
      </c>
      <c r="F1576" s="46">
        <f ca="1">INDIRECT(ADDRESS(ROW(),COLUMN()-2,4))*INDIRECT(ADDRESS(ROW(),COLUMN()-1,4))</f>
        <v>3450</v>
      </c>
    </row>
    <row r="1577" spans="1:6" ht="33.75">
      <c r="A1577" s="42">
        <v>48101903</v>
      </c>
      <c r="B1577" s="43" t="str">
        <f ca="1">IFERROR(INDEX(UNSPSCDes,MATCH(INDIRECT(ADDRESS(ROW(),COLUMN()-1,4)),UNSPSCCode,0)),"")</f>
        <v>Vasos para servicio de comidas</v>
      </c>
      <c r="C1577" s="42" t="s">
        <v>294</v>
      </c>
      <c r="D1577" s="42">
        <v>100</v>
      </c>
      <c r="E1577" s="45">
        <v>147</v>
      </c>
      <c r="F1577" s="46">
        <f ca="1">INDIRECT(ADDRESS(ROW(),COLUMN()-2,4))*INDIRECT(ADDRESS(ROW(),COLUMN()-1,4))</f>
        <v>14700</v>
      </c>
    </row>
    <row r="1578" spans="1:6">
      <c r="A1578" s="42">
        <v>14111704</v>
      </c>
      <c r="B1578" s="43" t="str">
        <f ca="1">IFERROR(INDEX(UNSPSCDes,MATCH(INDIRECT(ADDRESS(ROW(),COLUMN()-1,4)),UNSPSCCode,0)),"")</f>
        <v>Papel higiénico</v>
      </c>
      <c r="C1578" s="42" t="s">
        <v>294</v>
      </c>
      <c r="D1578" s="42">
        <v>10</v>
      </c>
      <c r="E1578" s="45">
        <v>1026.5999999999999</v>
      </c>
      <c r="F1578" s="46">
        <f ca="1">INDIRECT(ADDRESS(ROW(),COLUMN()-2,4))*INDIRECT(ADDRESS(ROW(),COLUMN()-1,4))</f>
        <v>10266</v>
      </c>
    </row>
    <row r="1579" spans="1:6">
      <c r="A1579" s="50"/>
      <c r="B1579" s="50"/>
      <c r="C1579" s="50"/>
      <c r="D1579" s="50"/>
      <c r="E1579" s="51" t="s">
        <v>50</v>
      </c>
      <c r="F1579" s="48">
        <f ca="1">SUM(Table3125[MONTO TOTAL ESTIMADO])</f>
        <v>42416</v>
      </c>
    </row>
    <row r="1580" spans="1:6" ht="17.25" thickBot="1">
      <c r="A1580" s="36"/>
      <c r="B1580" s="36"/>
      <c r="C1580" s="36"/>
      <c r="D1580" s="36"/>
      <c r="E1580" s="36"/>
      <c r="F1580" s="36"/>
    </row>
    <row r="1581" spans="1:6" ht="34.5" thickBot="1">
      <c r="A1581" s="1" t="s">
        <v>0</v>
      </c>
      <c r="B1581" s="1" t="s">
        <v>1</v>
      </c>
      <c r="C1581" s="1" t="s">
        <v>2</v>
      </c>
      <c r="D1581" s="1" t="s">
        <v>3</v>
      </c>
      <c r="E1581" s="1" t="s">
        <v>4</v>
      </c>
      <c r="F1581" s="1" t="s">
        <v>5</v>
      </c>
    </row>
    <row r="1582" spans="1:6" ht="15.75" thickBot="1">
      <c r="A1582" s="2" t="s">
        <v>295</v>
      </c>
      <c r="B1582" s="2" t="s">
        <v>296</v>
      </c>
      <c r="C1582" s="2" t="s">
        <v>40</v>
      </c>
      <c r="D1582" s="2" t="s">
        <v>62</v>
      </c>
      <c r="E1582" s="2" t="s">
        <v>42</v>
      </c>
      <c r="F1582" s="2"/>
    </row>
    <row r="1583" spans="1:6" ht="15.75" thickBot="1">
      <c r="A1583" s="3" t="s">
        <v>11</v>
      </c>
      <c r="B1583" s="4" t="s">
        <v>12</v>
      </c>
      <c r="C1583" s="5">
        <v>43103</v>
      </c>
      <c r="D1583" s="3" t="s">
        <v>13</v>
      </c>
      <c r="E1583" s="4" t="s">
        <v>14</v>
      </c>
      <c r="F1583" s="2"/>
    </row>
    <row r="1584" spans="1:6" ht="15.75" thickBot="1">
      <c r="A1584" s="6"/>
      <c r="B1584" s="4" t="s">
        <v>15</v>
      </c>
      <c r="C1584" s="7">
        <f>IF(C1583="","",IF(AND(MONTH(C1583)&gt;=1,MONTH(C1583)&lt;=3),1,IF(AND(MONTH(C1583)&gt;=4,MONTH(C1583)&lt;=6),2,IF(AND(MONTH(C1583)&gt;=7,MONTH(C1583)&lt;=9),3,4))))</f>
        <v>1</v>
      </c>
      <c r="D1584" s="6"/>
      <c r="E1584" s="4" t="s">
        <v>16</v>
      </c>
      <c r="F1584" s="2"/>
    </row>
    <row r="1585" spans="1:6" ht="15.75" thickBot="1">
      <c r="A1585" s="6"/>
      <c r="B1585" s="4" t="s">
        <v>17</v>
      </c>
      <c r="C1585" s="5">
        <v>43107</v>
      </c>
      <c r="D1585" s="6"/>
      <c r="E1585" s="4" t="s">
        <v>18</v>
      </c>
      <c r="F1585" s="2"/>
    </row>
    <row r="1586" spans="1:6" ht="15.75" thickBot="1">
      <c r="A1586" s="6"/>
      <c r="B1586" s="4" t="s">
        <v>15</v>
      </c>
      <c r="C1586" s="7">
        <f>IF(C1585="","",IF(AND(MONTH(C1585)&gt;=1,MONTH(C1585)&lt;=3),1,IF(AND(MONTH(C1585)&gt;=4,MONTH(C1585)&lt;=6),2,IF(AND(MONTH(C1585)&gt;=7,MONTH(C1585)&lt;=9),3,4))))</f>
        <v>1</v>
      </c>
      <c r="D1586" s="6"/>
      <c r="E1586" s="4" t="s">
        <v>19</v>
      </c>
      <c r="F1586" s="2"/>
    </row>
    <row r="1587" spans="1:6" ht="15.75" thickBot="1">
      <c r="A1587" s="50"/>
      <c r="B1587" s="50"/>
      <c r="C1587" s="50"/>
      <c r="D1587" s="50"/>
      <c r="E1587" s="50"/>
      <c r="F1587" s="50"/>
    </row>
    <row r="1588" spans="1:6" ht="15.75" thickBot="1">
      <c r="A1588" s="41" t="s">
        <v>43</v>
      </c>
      <c r="B1588" s="41" t="s">
        <v>44</v>
      </c>
      <c r="C1588" s="41" t="s">
        <v>45</v>
      </c>
      <c r="D1588" s="41" t="s">
        <v>46</v>
      </c>
      <c r="E1588" s="41" t="s">
        <v>47</v>
      </c>
      <c r="F1588" s="41" t="s">
        <v>48</v>
      </c>
    </row>
    <row r="1589" spans="1:6" ht="22.5">
      <c r="A1589" s="42">
        <v>43191508</v>
      </c>
      <c r="B1589" s="43" t="str">
        <f ca="1">IFERROR(INDEX(UNSPSCDes,MATCH(INDIRECT(ADDRESS(ROW(),COLUMN()-1,4)),UNSPSCCode,0)),"")</f>
        <v>Teléfonos digitales</v>
      </c>
      <c r="C1589" s="42" t="s">
        <v>252</v>
      </c>
      <c r="D1589" s="42">
        <v>1</v>
      </c>
      <c r="E1589" s="45">
        <v>10620</v>
      </c>
      <c r="F1589" s="46">
        <f ca="1">INDIRECT(ADDRESS(ROW(),COLUMN()-2,4))*INDIRECT(ADDRESS(ROW(),COLUMN()-1,4))</f>
        <v>10620</v>
      </c>
    </row>
    <row r="1590" spans="1:6" ht="45">
      <c r="A1590" s="42">
        <v>43191622</v>
      </c>
      <c r="B1590" s="43" t="str">
        <f ca="1">IFERROR(INDEX(UNSPSCDes,MATCH(INDIRECT(ADDRESS(ROW(),COLUMN()-1,4)),UNSPSCCode,0)),"")</f>
        <v>Módulos o accesorios de busca personas</v>
      </c>
      <c r="C1590" s="42" t="s">
        <v>252</v>
      </c>
      <c r="D1590" s="42">
        <v>1</v>
      </c>
      <c r="E1590" s="45">
        <v>9210</v>
      </c>
      <c r="F1590" s="46">
        <f ca="1">INDIRECT(ADDRESS(ROW(),COLUMN()-2,4))*INDIRECT(ADDRESS(ROW(),COLUMN()-1,4))</f>
        <v>9210</v>
      </c>
    </row>
    <row r="1591" spans="1:6">
      <c r="A1591" s="50"/>
      <c r="B1591" s="50"/>
      <c r="C1591" s="50"/>
      <c r="D1591" s="50"/>
      <c r="E1591" s="51" t="s">
        <v>50</v>
      </c>
      <c r="F1591" s="48">
        <f ca="1">SUM(Table3126[MONTO TOTAL ESTIMADO])</f>
        <v>19830</v>
      </c>
    </row>
    <row r="1592" spans="1:6" ht="17.25" thickBot="1">
      <c r="A1592" s="36"/>
      <c r="B1592" s="36"/>
      <c r="C1592" s="36"/>
      <c r="D1592" s="36"/>
      <c r="E1592" s="36"/>
      <c r="F1592" s="36"/>
    </row>
    <row r="1593" spans="1:6" ht="34.5" thickBot="1">
      <c r="A1593" s="1" t="s">
        <v>0</v>
      </c>
      <c r="B1593" s="1" t="s">
        <v>1</v>
      </c>
      <c r="C1593" s="1" t="s">
        <v>2</v>
      </c>
      <c r="D1593" s="1" t="s">
        <v>3</v>
      </c>
      <c r="E1593" s="1" t="s">
        <v>4</v>
      </c>
      <c r="F1593" s="1" t="s">
        <v>5</v>
      </c>
    </row>
    <row r="1594" spans="1:6" ht="15.75" thickBot="1">
      <c r="A1594" s="2" t="s">
        <v>266</v>
      </c>
      <c r="B1594" s="2" t="s">
        <v>297</v>
      </c>
      <c r="C1594" s="2" t="s">
        <v>40</v>
      </c>
      <c r="D1594" s="2" t="s">
        <v>53</v>
      </c>
      <c r="E1594" s="2" t="s">
        <v>63</v>
      </c>
      <c r="F1594" s="2"/>
    </row>
    <row r="1595" spans="1:6" ht="15.75" thickBot="1">
      <c r="A1595" s="3" t="s">
        <v>11</v>
      </c>
      <c r="B1595" s="4" t="s">
        <v>12</v>
      </c>
      <c r="C1595" s="5">
        <v>43132</v>
      </c>
      <c r="D1595" s="3" t="s">
        <v>13</v>
      </c>
      <c r="E1595" s="4" t="s">
        <v>14</v>
      </c>
      <c r="F1595" s="2"/>
    </row>
    <row r="1596" spans="1:6" ht="15.75" thickBot="1">
      <c r="A1596" s="6"/>
      <c r="B1596" s="4" t="s">
        <v>15</v>
      </c>
      <c r="C1596" s="7">
        <f>IF(C1595="","",IF(AND(MONTH(C1595)&gt;=1,MONTH(C1595)&lt;=3),1,IF(AND(MONTH(C1595)&gt;=4,MONTH(C1595)&lt;=6),2,IF(AND(MONTH(C1595)&gt;=7,MONTH(C1595)&lt;=9),3,4))))</f>
        <v>1</v>
      </c>
      <c r="D1596" s="6"/>
      <c r="E1596" s="4" t="s">
        <v>16</v>
      </c>
      <c r="F1596" s="2"/>
    </row>
    <row r="1597" spans="1:6" ht="15.75" thickBot="1">
      <c r="A1597" s="6"/>
      <c r="B1597" s="4" t="s">
        <v>17</v>
      </c>
      <c r="C1597" s="5">
        <v>43145</v>
      </c>
      <c r="D1597" s="6"/>
      <c r="E1597" s="4" t="s">
        <v>18</v>
      </c>
      <c r="F1597" s="2"/>
    </row>
    <row r="1598" spans="1:6" ht="15.75" thickBot="1">
      <c r="A1598" s="6"/>
      <c r="B1598" s="4" t="s">
        <v>15</v>
      </c>
      <c r="C1598" s="7">
        <f>IF(C1597="","",IF(AND(MONTH(C1597)&gt;=1,MONTH(C1597)&lt;=3),1,IF(AND(MONTH(C1597)&gt;=4,MONTH(C1597)&lt;=6),2,IF(AND(MONTH(C1597)&gt;=7,MONTH(C1597)&lt;=9),3,4))))</f>
        <v>1</v>
      </c>
      <c r="D1598" s="6"/>
      <c r="E1598" s="4" t="s">
        <v>19</v>
      </c>
      <c r="F1598" s="2"/>
    </row>
    <row r="1599" spans="1:6" ht="15.75" thickBot="1">
      <c r="A1599" s="50"/>
      <c r="B1599" s="50"/>
      <c r="C1599" s="50"/>
      <c r="D1599" s="50"/>
      <c r="E1599" s="50"/>
      <c r="F1599" s="50"/>
    </row>
    <row r="1600" spans="1:6" ht="15.75" thickBot="1">
      <c r="A1600" s="41" t="s">
        <v>43</v>
      </c>
      <c r="B1600" s="41" t="s">
        <v>44</v>
      </c>
      <c r="C1600" s="41" t="s">
        <v>45</v>
      </c>
      <c r="D1600" s="41" t="s">
        <v>46</v>
      </c>
      <c r="E1600" s="41" t="s">
        <v>47</v>
      </c>
      <c r="F1600" s="41" t="s">
        <v>48</v>
      </c>
    </row>
    <row r="1601" spans="1:6" ht="22.5">
      <c r="A1601" s="42">
        <v>82121503</v>
      </c>
      <c r="B1601" s="43" t="str">
        <f ca="1">IFERROR(INDEX(UNSPSCDes,MATCH(INDIRECT(ADDRESS(ROW(),COLUMN()-1,4)),UNSPSCCode,0)),"")</f>
        <v>Impresión digital</v>
      </c>
      <c r="C1601" s="42" t="s">
        <v>252</v>
      </c>
      <c r="D1601" s="42">
        <v>350</v>
      </c>
      <c r="E1601" s="45">
        <v>354.28</v>
      </c>
      <c r="F1601" s="46">
        <f ca="1">INDIRECT(ADDRESS(ROW(),COLUMN()-2,4))*INDIRECT(ADDRESS(ROW(),COLUMN()-1,4))</f>
        <v>123997.99999999999</v>
      </c>
    </row>
    <row r="1602" spans="1:6" ht="22.5">
      <c r="A1602" s="42">
        <v>53102301</v>
      </c>
      <c r="B1602" s="43" t="str">
        <f ca="1">IFERROR(INDEX(UNSPSCDes,MATCH(INDIRECT(ADDRESS(ROW(),COLUMN()-1,4)),UNSPSCCode,0)),"")</f>
        <v>Camisetas interiores</v>
      </c>
      <c r="C1602" s="42" t="s">
        <v>252</v>
      </c>
      <c r="D1602" s="42">
        <v>300</v>
      </c>
      <c r="E1602" s="45">
        <v>207</v>
      </c>
      <c r="F1602" s="46">
        <f ca="1">INDIRECT(ADDRESS(ROW(),COLUMN()-2,4))*INDIRECT(ADDRESS(ROW(),COLUMN()-1,4))</f>
        <v>62100</v>
      </c>
    </row>
    <row r="1603" spans="1:6" ht="22.5">
      <c r="A1603" s="42">
        <v>49221510</v>
      </c>
      <c r="B1603" s="43" t="str">
        <f ca="1">IFERROR(INDEX(UNSPSCDes,MATCH(INDIRECT(ADDRESS(ROW(),COLUMN()-1,4)),UNSPSCCode,0)),"")</f>
        <v>Gorras deportivas</v>
      </c>
      <c r="C1603" s="42" t="s">
        <v>252</v>
      </c>
      <c r="D1603" s="42">
        <v>300</v>
      </c>
      <c r="E1603" s="45">
        <v>165.2</v>
      </c>
      <c r="F1603" s="46">
        <f ca="1">INDIRECT(ADDRESS(ROW(),COLUMN()-2,4))*INDIRECT(ADDRESS(ROW(),COLUMN()-1,4))</f>
        <v>49560</v>
      </c>
    </row>
    <row r="1604" spans="1:6" ht="22.5">
      <c r="A1604" s="42">
        <v>55121804</v>
      </c>
      <c r="B1604" s="43" t="str">
        <f ca="1">IFERROR(INDEX(UNSPSCDes,MATCH(INDIRECT(ADDRESS(ROW(),COLUMN()-1,4)),UNSPSCCode,0)),"")</f>
        <v>Gafetes o porta gafetes</v>
      </c>
      <c r="C1604" s="42" t="s">
        <v>252</v>
      </c>
      <c r="D1604" s="42">
        <v>617</v>
      </c>
      <c r="E1604" s="45">
        <v>57</v>
      </c>
      <c r="F1604" s="46">
        <f ca="1">INDIRECT(ADDRESS(ROW(),COLUMN()-2,4))*INDIRECT(ADDRESS(ROW(),COLUMN()-1,4))</f>
        <v>35169</v>
      </c>
    </row>
    <row r="1605" spans="1:6">
      <c r="A1605" s="50"/>
      <c r="B1605" s="50"/>
      <c r="C1605" s="50"/>
      <c r="D1605" s="50"/>
      <c r="E1605" s="51" t="s">
        <v>50</v>
      </c>
      <c r="F1605" s="48">
        <f ca="1">SUM(Table3127[MONTO TOTAL ESTIMADO])</f>
        <v>270827</v>
      </c>
    </row>
    <row r="1606" spans="1:6" ht="17.25" thickBot="1">
      <c r="A1606" s="36"/>
      <c r="B1606" s="36"/>
      <c r="C1606" s="36"/>
      <c r="D1606" s="36"/>
      <c r="E1606" s="36"/>
      <c r="F1606" s="36"/>
    </row>
    <row r="1607" spans="1:6" ht="34.5" thickBot="1">
      <c r="A1607" s="1" t="s">
        <v>0</v>
      </c>
      <c r="B1607" s="1" t="s">
        <v>1</v>
      </c>
      <c r="C1607" s="1" t="s">
        <v>2</v>
      </c>
      <c r="D1607" s="1" t="s">
        <v>3</v>
      </c>
      <c r="E1607" s="1" t="s">
        <v>4</v>
      </c>
      <c r="F1607" s="1" t="s">
        <v>5</v>
      </c>
    </row>
    <row r="1608" spans="1:6" ht="15.75" thickBot="1">
      <c r="A1608" s="2" t="s">
        <v>266</v>
      </c>
      <c r="B1608" s="2" t="s">
        <v>298</v>
      </c>
      <c r="C1608" s="2" t="s">
        <v>40</v>
      </c>
      <c r="D1608" s="2" t="s">
        <v>53</v>
      </c>
      <c r="E1608" s="2" t="s">
        <v>63</v>
      </c>
      <c r="F1608" s="2"/>
    </row>
    <row r="1609" spans="1:6" ht="15.75" thickBot="1">
      <c r="A1609" s="3" t="s">
        <v>11</v>
      </c>
      <c r="B1609" s="4" t="s">
        <v>12</v>
      </c>
      <c r="C1609" s="5">
        <v>43139</v>
      </c>
      <c r="D1609" s="3" t="s">
        <v>13</v>
      </c>
      <c r="E1609" s="4" t="s">
        <v>14</v>
      </c>
      <c r="F1609" s="2"/>
    </row>
    <row r="1610" spans="1:6" ht="15.75" thickBot="1">
      <c r="A1610" s="6"/>
      <c r="B1610" s="4" t="s">
        <v>15</v>
      </c>
      <c r="C1610" s="7">
        <f>IF(C1609="","",IF(AND(MONTH(C1609)&gt;=1,MONTH(C1609)&lt;=3),1,IF(AND(MONTH(C1609)&gt;=4,MONTH(C1609)&lt;=6),2,IF(AND(MONTH(C1609)&gt;=7,MONTH(C1609)&lt;=9),3,4))))</f>
        <v>1</v>
      </c>
      <c r="D1610" s="6"/>
      <c r="E1610" s="4" t="s">
        <v>16</v>
      </c>
      <c r="F1610" s="2"/>
    </row>
    <row r="1611" spans="1:6" ht="15.75" thickBot="1">
      <c r="A1611" s="6"/>
      <c r="B1611" s="4" t="s">
        <v>17</v>
      </c>
      <c r="C1611" s="5">
        <v>43146</v>
      </c>
      <c r="D1611" s="6"/>
      <c r="E1611" s="4" t="s">
        <v>18</v>
      </c>
      <c r="F1611" s="2"/>
    </row>
    <row r="1612" spans="1:6" ht="15.75" thickBot="1">
      <c r="A1612" s="6"/>
      <c r="B1612" s="4" t="s">
        <v>15</v>
      </c>
      <c r="C1612" s="7">
        <f>IF(C1611="","",IF(AND(MONTH(C1611)&gt;=1,MONTH(C1611)&lt;=3),1,IF(AND(MONTH(C1611)&gt;=4,MONTH(C1611)&lt;=6),2,IF(AND(MONTH(C1611)&gt;=7,MONTH(C1611)&lt;=9),3,4))))</f>
        <v>1</v>
      </c>
      <c r="D1612" s="6"/>
      <c r="E1612" s="4" t="s">
        <v>19</v>
      </c>
      <c r="F1612" s="2"/>
    </row>
    <row r="1613" spans="1:6" ht="15.75" thickBot="1">
      <c r="A1613" s="50"/>
      <c r="B1613" s="50"/>
      <c r="C1613" s="50"/>
      <c r="D1613" s="50"/>
      <c r="E1613" s="50"/>
      <c r="F1613" s="50"/>
    </row>
    <row r="1614" spans="1:6" ht="15.75" thickBot="1">
      <c r="A1614" s="41" t="s">
        <v>43</v>
      </c>
      <c r="B1614" s="41" t="s">
        <v>44</v>
      </c>
      <c r="C1614" s="41" t="s">
        <v>45</v>
      </c>
      <c r="D1614" s="41" t="s">
        <v>46</v>
      </c>
      <c r="E1614" s="41" t="s">
        <v>47</v>
      </c>
      <c r="F1614" s="41" t="s">
        <v>48</v>
      </c>
    </row>
    <row r="1615" spans="1:6" ht="22.5">
      <c r="A1615" s="42">
        <v>82121503</v>
      </c>
      <c r="B1615" s="43" t="str">
        <f ca="1">IFERROR(INDEX(UNSPSCDes,MATCH(INDIRECT(ADDRESS(ROW(),COLUMN()-1,4)),UNSPSCCode,0)),"")</f>
        <v>Impresión digital</v>
      </c>
      <c r="C1615" s="42" t="s">
        <v>252</v>
      </c>
      <c r="D1615" s="42">
        <v>14500</v>
      </c>
      <c r="E1615" s="45">
        <v>35</v>
      </c>
      <c r="F1615" s="46">
        <f ca="1">INDIRECT(ADDRESS(ROW(),COLUMN()-2,4))*INDIRECT(ADDRESS(ROW(),COLUMN()-1,4))</f>
        <v>507500</v>
      </c>
    </row>
    <row r="1616" spans="1:6" ht="22.5">
      <c r="A1616" s="42">
        <v>82121503</v>
      </c>
      <c r="B1616" s="43" t="str">
        <f ca="1">IFERROR(INDEX(UNSPSCDes,MATCH(INDIRECT(ADDRESS(ROW(),COLUMN()-1,4)),UNSPSCCode,0)),"")</f>
        <v>Impresión digital</v>
      </c>
      <c r="C1616" s="42" t="s">
        <v>252</v>
      </c>
      <c r="D1616" s="42">
        <v>900</v>
      </c>
      <c r="E1616" s="45">
        <v>3.33</v>
      </c>
      <c r="F1616" s="46">
        <f ca="1">INDIRECT(ADDRESS(ROW(),COLUMN()-2,4))*INDIRECT(ADDRESS(ROW(),COLUMN()-1,4))</f>
        <v>2997</v>
      </c>
    </row>
    <row r="1617" spans="1:6" ht="22.5">
      <c r="A1617" s="42">
        <v>53121601</v>
      </c>
      <c r="B1617" s="43" t="str">
        <f ca="1">IFERROR(INDEX(UNSPSCDes,MATCH(INDIRECT(ADDRESS(ROW(),COLUMN()-1,4)),UNSPSCCode,0)),"")</f>
        <v>Bolsos o carteras</v>
      </c>
      <c r="C1617" s="42" t="s">
        <v>252</v>
      </c>
      <c r="D1617" s="42">
        <v>250</v>
      </c>
      <c r="E1617" s="45">
        <v>180</v>
      </c>
      <c r="F1617" s="46">
        <f ca="1">INDIRECT(ADDRESS(ROW(),COLUMN()-2,4))*INDIRECT(ADDRESS(ROW(),COLUMN()-1,4))</f>
        <v>45000</v>
      </c>
    </row>
    <row r="1618" spans="1:6">
      <c r="A1618" s="50"/>
      <c r="B1618" s="50"/>
      <c r="C1618" s="50"/>
      <c r="D1618" s="50"/>
      <c r="E1618" s="51" t="s">
        <v>50</v>
      </c>
      <c r="F1618" s="48">
        <f ca="1">SUM(Table3128[MONTO TOTAL ESTIMADO])</f>
        <v>555497</v>
      </c>
    </row>
    <row r="1619" spans="1:6" ht="17.25" thickBot="1">
      <c r="A1619" s="36"/>
      <c r="B1619" s="36"/>
      <c r="C1619" s="36"/>
      <c r="D1619" s="36"/>
      <c r="E1619" s="36"/>
      <c r="F1619" s="36"/>
    </row>
    <row r="1620" spans="1:6" ht="34.5" thickBot="1">
      <c r="A1620" s="1" t="s">
        <v>0</v>
      </c>
      <c r="B1620" s="1" t="s">
        <v>1</v>
      </c>
      <c r="C1620" s="1" t="s">
        <v>2</v>
      </c>
      <c r="D1620" s="1" t="s">
        <v>3</v>
      </c>
      <c r="E1620" s="1" t="s">
        <v>4</v>
      </c>
      <c r="F1620" s="1" t="s">
        <v>5</v>
      </c>
    </row>
    <row r="1621" spans="1:6" ht="15.75" thickBot="1">
      <c r="A1621" s="2" t="s">
        <v>266</v>
      </c>
      <c r="B1621" s="2" t="s">
        <v>299</v>
      </c>
      <c r="C1621" s="2" t="s">
        <v>40</v>
      </c>
      <c r="D1621" s="2" t="s">
        <v>62</v>
      </c>
      <c r="E1621" s="2" t="s">
        <v>42</v>
      </c>
      <c r="F1621" s="2"/>
    </row>
    <row r="1622" spans="1:6" ht="15.75" thickBot="1">
      <c r="A1622" s="3" t="s">
        <v>11</v>
      </c>
      <c r="B1622" s="4" t="s">
        <v>12</v>
      </c>
      <c r="C1622" s="5">
        <v>43139</v>
      </c>
      <c r="D1622" s="3" t="s">
        <v>13</v>
      </c>
      <c r="E1622" s="4" t="s">
        <v>14</v>
      </c>
      <c r="F1622" s="2"/>
    </row>
    <row r="1623" spans="1:6" ht="15.75" thickBot="1">
      <c r="A1623" s="6"/>
      <c r="B1623" s="4" t="s">
        <v>15</v>
      </c>
      <c r="C1623" s="7">
        <f>IF(C1622="","",IF(AND(MONTH(C1622)&gt;=1,MONTH(C1622)&lt;=3),1,IF(AND(MONTH(C1622)&gt;=4,MONTH(C1622)&lt;=6),2,IF(AND(MONTH(C1622)&gt;=7,MONTH(C1622)&lt;=9),3,4))))</f>
        <v>1</v>
      </c>
      <c r="D1623" s="6"/>
      <c r="E1623" s="4" t="s">
        <v>16</v>
      </c>
      <c r="F1623" s="2"/>
    </row>
    <row r="1624" spans="1:6" ht="15.75" thickBot="1">
      <c r="A1624" s="6"/>
      <c r="B1624" s="4" t="s">
        <v>17</v>
      </c>
      <c r="C1624" s="5">
        <v>43146</v>
      </c>
      <c r="D1624" s="6"/>
      <c r="E1624" s="4" t="s">
        <v>18</v>
      </c>
      <c r="F1624" s="2"/>
    </row>
    <row r="1625" spans="1:6" ht="15.75" thickBot="1">
      <c r="A1625" s="6"/>
      <c r="B1625" s="4" t="s">
        <v>15</v>
      </c>
      <c r="C1625" s="7">
        <f>IF(C1624="","",IF(AND(MONTH(C1624)&gt;=1,MONTH(C1624)&lt;=3),1,IF(AND(MONTH(C1624)&gt;=4,MONTH(C1624)&lt;=6),2,IF(AND(MONTH(C1624)&gt;=7,MONTH(C1624)&lt;=9),3,4))))</f>
        <v>1</v>
      </c>
      <c r="D1625" s="6"/>
      <c r="E1625" s="4" t="s">
        <v>19</v>
      </c>
      <c r="F1625" s="2"/>
    </row>
    <row r="1626" spans="1:6" ht="15.75" thickBot="1">
      <c r="A1626" s="50"/>
      <c r="B1626" s="50"/>
      <c r="C1626" s="50"/>
      <c r="D1626" s="50"/>
      <c r="E1626" s="50"/>
      <c r="F1626" s="50"/>
    </row>
    <row r="1627" spans="1:6" ht="15.75" thickBot="1">
      <c r="A1627" s="41" t="s">
        <v>43</v>
      </c>
      <c r="B1627" s="41" t="s">
        <v>44</v>
      </c>
      <c r="C1627" s="41" t="s">
        <v>45</v>
      </c>
      <c r="D1627" s="41" t="s">
        <v>46</v>
      </c>
      <c r="E1627" s="41" t="s">
        <v>47</v>
      </c>
      <c r="F1627" s="41" t="s">
        <v>48</v>
      </c>
    </row>
    <row r="1628" spans="1:6" ht="22.5">
      <c r="A1628" s="42">
        <v>82121503</v>
      </c>
      <c r="B1628" s="43" t="str">
        <f ca="1">IFERROR(INDEX(UNSPSCDes,MATCH(INDIRECT(ADDRESS(ROW(),COLUMN()-1,4)),UNSPSCCode,0)),"")</f>
        <v>Impresión digital</v>
      </c>
      <c r="C1628" s="42" t="s">
        <v>252</v>
      </c>
      <c r="D1628" s="42">
        <v>300</v>
      </c>
      <c r="E1628" s="45">
        <v>61.46</v>
      </c>
      <c r="F1628" s="46">
        <f ca="1">INDIRECT(ADDRESS(ROW(),COLUMN()-2,4))*INDIRECT(ADDRESS(ROW(),COLUMN()-1,4))</f>
        <v>18438</v>
      </c>
    </row>
    <row r="1629" spans="1:6">
      <c r="A1629" s="50"/>
      <c r="B1629" s="50"/>
      <c r="C1629" s="50"/>
      <c r="D1629" s="50"/>
      <c r="E1629" s="51" t="s">
        <v>50</v>
      </c>
      <c r="F1629" s="48">
        <f ca="1">SUM(Table3129[MONTO TOTAL ESTIMADO])</f>
        <v>18438</v>
      </c>
    </row>
    <row r="1630" spans="1:6" ht="17.25" thickBot="1">
      <c r="A1630" s="36"/>
      <c r="B1630" s="36"/>
      <c r="C1630" s="36"/>
      <c r="D1630" s="36"/>
      <c r="E1630" s="36"/>
      <c r="F1630" s="36"/>
    </row>
    <row r="1631" spans="1:6" ht="34.5" thickBot="1">
      <c r="A1631" s="1" t="s">
        <v>0</v>
      </c>
      <c r="B1631" s="1" t="s">
        <v>1</v>
      </c>
      <c r="C1631" s="1" t="s">
        <v>2</v>
      </c>
      <c r="D1631" s="1" t="s">
        <v>3</v>
      </c>
      <c r="E1631" s="1" t="s">
        <v>4</v>
      </c>
      <c r="F1631" s="1" t="s">
        <v>5</v>
      </c>
    </row>
    <row r="1632" spans="1:6" ht="15.75" thickBot="1">
      <c r="A1632" s="2" t="s">
        <v>300</v>
      </c>
      <c r="B1632" s="2" t="s">
        <v>301</v>
      </c>
      <c r="C1632" s="2" t="s">
        <v>8</v>
      </c>
      <c r="D1632" s="2" t="s">
        <v>80</v>
      </c>
      <c r="E1632" s="2" t="s">
        <v>42</v>
      </c>
      <c r="F1632" s="2"/>
    </row>
    <row r="1633" spans="1:6" ht="15.75" thickBot="1">
      <c r="A1633" s="3" t="s">
        <v>11</v>
      </c>
      <c r="B1633" s="4" t="s">
        <v>12</v>
      </c>
      <c r="C1633" s="5">
        <v>43126</v>
      </c>
      <c r="D1633" s="3" t="s">
        <v>13</v>
      </c>
      <c r="E1633" s="4" t="s">
        <v>14</v>
      </c>
      <c r="F1633" s="2"/>
    </row>
    <row r="1634" spans="1:6" ht="15.75" thickBot="1">
      <c r="A1634" s="6"/>
      <c r="B1634" s="4" t="s">
        <v>15</v>
      </c>
      <c r="C1634" s="7">
        <f>IF(C1633="","",IF(AND(MONTH(C1633)&gt;=1,MONTH(C1633)&lt;=3),1,IF(AND(MONTH(C1633)&gt;=4,MONTH(C1633)&lt;=6),2,IF(AND(MONTH(C1633)&gt;=7,MONTH(C1633)&lt;=9),3,4))))</f>
        <v>1</v>
      </c>
      <c r="D1634" s="6"/>
      <c r="E1634" s="4" t="s">
        <v>16</v>
      </c>
      <c r="F1634" s="2"/>
    </row>
    <row r="1635" spans="1:6" ht="15.75" thickBot="1">
      <c r="A1635" s="6"/>
      <c r="B1635" s="4" t="s">
        <v>17</v>
      </c>
      <c r="C1635" s="5">
        <v>43146</v>
      </c>
      <c r="D1635" s="6"/>
      <c r="E1635" s="4" t="s">
        <v>18</v>
      </c>
      <c r="F1635" s="2"/>
    </row>
    <row r="1636" spans="1:6" ht="15.75" thickBot="1">
      <c r="A1636" s="6"/>
      <c r="B1636" s="4" t="s">
        <v>15</v>
      </c>
      <c r="C1636" s="7">
        <f>IF(C1635="","",IF(AND(MONTH(C1635)&gt;=1,MONTH(C1635)&lt;=3),1,IF(AND(MONTH(C1635)&gt;=4,MONTH(C1635)&lt;=6),2,IF(AND(MONTH(C1635)&gt;=7,MONTH(C1635)&lt;=9),3,4))))</f>
        <v>1</v>
      </c>
      <c r="D1636" s="6"/>
      <c r="E1636" s="4" t="s">
        <v>19</v>
      </c>
      <c r="F1636" s="2"/>
    </row>
    <row r="1637" spans="1:6" ht="15.75" thickBot="1">
      <c r="A1637" s="50"/>
      <c r="B1637" s="50"/>
      <c r="C1637" s="50"/>
      <c r="D1637" s="50"/>
      <c r="E1637" s="50"/>
      <c r="F1637" s="50"/>
    </row>
    <row r="1638" spans="1:6" ht="15.75" thickBot="1">
      <c r="A1638" s="41" t="s">
        <v>43</v>
      </c>
      <c r="B1638" s="41" t="s">
        <v>44</v>
      </c>
      <c r="C1638" s="41" t="s">
        <v>45</v>
      </c>
      <c r="D1638" s="41" t="s">
        <v>46</v>
      </c>
      <c r="E1638" s="41" t="s">
        <v>47</v>
      </c>
      <c r="F1638" s="41" t="s">
        <v>48</v>
      </c>
    </row>
    <row r="1639" spans="1:6" ht="67.5">
      <c r="A1639" s="42">
        <v>83111601</v>
      </c>
      <c r="B1639" s="43" t="str">
        <f ca="1">IFERROR(INDEX(UNSPSCDes,MATCH(INDIRECT(ADDRESS(ROW(),COLUMN()-1,4)),UNSPSCCode,0)),"")</f>
        <v>Servicios en la red para mejorar las señales de telecomunicaciones</v>
      </c>
      <c r="C1639" s="42" t="s">
        <v>252</v>
      </c>
      <c r="D1639" s="42">
        <v>1</v>
      </c>
      <c r="E1639" s="45">
        <v>2064174</v>
      </c>
      <c r="F1639" s="46">
        <f ca="1">INDIRECT(ADDRESS(ROW(),COLUMN()-2,4))*INDIRECT(ADDRESS(ROW(),COLUMN()-1,4))</f>
        <v>2064174</v>
      </c>
    </row>
    <row r="1640" spans="1:6">
      <c r="A1640" s="50"/>
      <c r="B1640" s="50"/>
      <c r="C1640" s="50"/>
      <c r="D1640" s="50"/>
      <c r="E1640" s="51" t="s">
        <v>50</v>
      </c>
      <c r="F1640" s="48">
        <f ca="1">SUM(Table3130[MONTO TOTAL ESTIMADO])</f>
        <v>2064174</v>
      </c>
    </row>
    <row r="1641" spans="1:6" ht="17.25" thickBot="1">
      <c r="A1641" s="36"/>
      <c r="B1641" s="36"/>
      <c r="C1641" s="36"/>
      <c r="D1641" s="36"/>
      <c r="E1641" s="36"/>
      <c r="F1641" s="36"/>
    </row>
    <row r="1642" spans="1:6" ht="34.5" thickBot="1">
      <c r="A1642" s="1" t="s">
        <v>0</v>
      </c>
      <c r="B1642" s="1" t="s">
        <v>1</v>
      </c>
      <c r="C1642" s="1" t="s">
        <v>2</v>
      </c>
      <c r="D1642" s="1" t="s">
        <v>3</v>
      </c>
      <c r="E1642" s="1" t="s">
        <v>4</v>
      </c>
      <c r="F1642" s="1" t="s">
        <v>5</v>
      </c>
    </row>
    <row r="1643" spans="1:6" ht="15.75" thickBot="1">
      <c r="A1643" s="2" t="s">
        <v>302</v>
      </c>
      <c r="B1643" s="2" t="s">
        <v>303</v>
      </c>
      <c r="C1643" s="2" t="s">
        <v>40</v>
      </c>
      <c r="D1643" s="2" t="s">
        <v>53</v>
      </c>
      <c r="E1643" s="2" t="s">
        <v>42</v>
      </c>
      <c r="F1643" s="2"/>
    </row>
    <row r="1644" spans="1:6" ht="15.75" thickBot="1">
      <c r="A1644" s="3" t="s">
        <v>11</v>
      </c>
      <c r="B1644" s="4" t="s">
        <v>12</v>
      </c>
      <c r="C1644" s="5">
        <v>43162</v>
      </c>
      <c r="D1644" s="3" t="s">
        <v>13</v>
      </c>
      <c r="E1644" s="4" t="s">
        <v>14</v>
      </c>
      <c r="F1644" s="2"/>
    </row>
    <row r="1645" spans="1:6" ht="15.75" thickBot="1">
      <c r="A1645" s="6"/>
      <c r="B1645" s="4" t="s">
        <v>15</v>
      </c>
      <c r="C1645" s="7">
        <f>IF(C1644="","",IF(AND(MONTH(C1644)&gt;=1,MONTH(C1644)&lt;=3),1,IF(AND(MONTH(C1644)&gt;=4,MONTH(C1644)&lt;=6),2,IF(AND(MONTH(C1644)&gt;=7,MONTH(C1644)&lt;=9),3,4))))</f>
        <v>1</v>
      </c>
      <c r="D1645" s="6"/>
      <c r="E1645" s="4" t="s">
        <v>16</v>
      </c>
      <c r="F1645" s="2"/>
    </row>
    <row r="1646" spans="1:6" ht="15.75" thickBot="1">
      <c r="A1646" s="6"/>
      <c r="B1646" s="4" t="s">
        <v>17</v>
      </c>
      <c r="C1646" s="5">
        <v>43174</v>
      </c>
      <c r="D1646" s="6"/>
      <c r="E1646" s="4" t="s">
        <v>18</v>
      </c>
      <c r="F1646" s="2"/>
    </row>
    <row r="1647" spans="1:6" ht="15.75" thickBot="1">
      <c r="A1647" s="6"/>
      <c r="B1647" s="4" t="s">
        <v>15</v>
      </c>
      <c r="C1647" s="7">
        <f>IF(C1646="","",IF(AND(MONTH(C1646)&gt;=1,MONTH(C1646)&lt;=3),1,IF(AND(MONTH(C1646)&gt;=4,MONTH(C1646)&lt;=6),2,IF(AND(MONTH(C1646)&gt;=7,MONTH(C1646)&lt;=9),3,4))))</f>
        <v>1</v>
      </c>
      <c r="D1647" s="6"/>
      <c r="E1647" s="4" t="s">
        <v>19</v>
      </c>
      <c r="F1647" s="2"/>
    </row>
    <row r="1648" spans="1:6" ht="15.75" thickBot="1">
      <c r="A1648" s="50"/>
      <c r="B1648" s="50"/>
      <c r="C1648" s="50"/>
      <c r="D1648" s="50"/>
      <c r="E1648" s="50"/>
      <c r="F1648" s="50"/>
    </row>
    <row r="1649" spans="1:6" ht="15.75" thickBot="1">
      <c r="A1649" s="41" t="s">
        <v>43</v>
      </c>
      <c r="B1649" s="41" t="s">
        <v>44</v>
      </c>
      <c r="C1649" s="41" t="s">
        <v>45</v>
      </c>
      <c r="D1649" s="41" t="s">
        <v>46</v>
      </c>
      <c r="E1649" s="41" t="s">
        <v>47</v>
      </c>
      <c r="F1649" s="41" t="s">
        <v>48</v>
      </c>
    </row>
    <row r="1650" spans="1:6" ht="33.75">
      <c r="A1650" s="42">
        <v>25172504</v>
      </c>
      <c r="B1650" s="43" t="str">
        <f ca="1">IFERROR(INDEX(UNSPSCDes,MATCH(INDIRECT(ADDRESS(ROW(),COLUMN()-1,4)),UNSPSCCode,0)),"")</f>
        <v>Llantas para automóviles o camionetas</v>
      </c>
      <c r="C1650" s="42" t="s">
        <v>252</v>
      </c>
      <c r="D1650" s="42">
        <v>36</v>
      </c>
      <c r="E1650" s="45">
        <v>8306.58</v>
      </c>
      <c r="F1650" s="46">
        <f ca="1">INDIRECT(ADDRESS(ROW(),COLUMN()-2,4))*INDIRECT(ADDRESS(ROW(),COLUMN()-1,4))</f>
        <v>299036.88</v>
      </c>
    </row>
    <row r="1651" spans="1:6">
      <c r="A1651" s="50"/>
      <c r="B1651" s="50"/>
      <c r="C1651" s="50"/>
      <c r="D1651" s="50"/>
      <c r="E1651" s="51" t="s">
        <v>50</v>
      </c>
      <c r="F1651" s="48">
        <f ca="1">SUM(Table3131[MONTO TOTAL ESTIMADO])</f>
        <v>299036.88</v>
      </c>
    </row>
    <row r="1652" spans="1:6" ht="17.25" thickBot="1">
      <c r="A1652" s="36"/>
      <c r="B1652" s="36"/>
      <c r="C1652" s="36"/>
      <c r="D1652" s="36"/>
      <c r="E1652" s="36"/>
      <c r="F1652" s="36"/>
    </row>
    <row r="1653" spans="1:6" ht="34.5" thickBot="1">
      <c r="A1653" s="1" t="s">
        <v>0</v>
      </c>
      <c r="B1653" s="1" t="s">
        <v>1</v>
      </c>
      <c r="C1653" s="1" t="s">
        <v>2</v>
      </c>
      <c r="D1653" s="1" t="s">
        <v>3</v>
      </c>
      <c r="E1653" s="1" t="s">
        <v>4</v>
      </c>
      <c r="F1653" s="1" t="s">
        <v>5</v>
      </c>
    </row>
    <row r="1654" spans="1:6" ht="15.75" thickBot="1">
      <c r="A1654" s="2" t="s">
        <v>304</v>
      </c>
      <c r="B1654" s="2" t="s">
        <v>305</v>
      </c>
      <c r="C1654" s="2" t="s">
        <v>8</v>
      </c>
      <c r="D1654" s="2" t="s">
        <v>53</v>
      </c>
      <c r="E1654" s="2" t="s">
        <v>42</v>
      </c>
      <c r="F1654" s="2"/>
    </row>
    <row r="1655" spans="1:6" ht="15.75" thickBot="1">
      <c r="A1655" s="3" t="s">
        <v>11</v>
      </c>
      <c r="B1655" s="4" t="s">
        <v>12</v>
      </c>
      <c r="C1655" s="5">
        <v>43225</v>
      </c>
      <c r="D1655" s="3" t="s">
        <v>13</v>
      </c>
      <c r="E1655" s="4" t="s">
        <v>14</v>
      </c>
      <c r="F1655" s="2"/>
    </row>
    <row r="1656" spans="1:6" ht="15.75" thickBot="1">
      <c r="A1656" s="6"/>
      <c r="B1656" s="4" t="s">
        <v>15</v>
      </c>
      <c r="C1656" s="7">
        <f>IF(C1655="","",IF(AND(MONTH(C1655)&gt;=1,MONTH(C1655)&lt;=3),1,IF(AND(MONTH(C1655)&gt;=4,MONTH(C1655)&lt;=6),2,IF(AND(MONTH(C1655)&gt;=7,MONTH(C1655)&lt;=9),3,4))))</f>
        <v>2</v>
      </c>
      <c r="D1656" s="6"/>
      <c r="E1656" s="4" t="s">
        <v>16</v>
      </c>
      <c r="F1656" s="2"/>
    </row>
    <row r="1657" spans="1:6" ht="15.75" thickBot="1">
      <c r="A1657" s="6"/>
      <c r="B1657" s="4" t="s">
        <v>17</v>
      </c>
      <c r="C1657" s="5">
        <v>43249</v>
      </c>
      <c r="D1657" s="6"/>
      <c r="E1657" s="4" t="s">
        <v>18</v>
      </c>
      <c r="F1657" s="2"/>
    </row>
    <row r="1658" spans="1:6" ht="15.75" thickBot="1">
      <c r="A1658" s="6"/>
      <c r="B1658" s="4" t="s">
        <v>15</v>
      </c>
      <c r="C1658" s="7">
        <f>IF(C1657="","",IF(AND(MONTH(C1657)&gt;=1,MONTH(C1657)&lt;=3),1,IF(AND(MONTH(C1657)&gt;=4,MONTH(C1657)&lt;=6),2,IF(AND(MONTH(C1657)&gt;=7,MONTH(C1657)&lt;=9),3,4))))</f>
        <v>2</v>
      </c>
      <c r="D1658" s="6"/>
      <c r="E1658" s="4" t="s">
        <v>19</v>
      </c>
      <c r="F1658" s="2"/>
    </row>
    <row r="1659" spans="1:6" ht="15.75" thickBot="1">
      <c r="A1659" s="50"/>
      <c r="B1659" s="50"/>
      <c r="C1659" s="50"/>
      <c r="D1659" s="50"/>
      <c r="E1659" s="50"/>
      <c r="F1659" s="50"/>
    </row>
    <row r="1660" spans="1:6" ht="15.75" thickBot="1">
      <c r="A1660" s="41" t="s">
        <v>43</v>
      </c>
      <c r="B1660" s="41" t="s">
        <v>44</v>
      </c>
      <c r="C1660" s="41" t="s">
        <v>45</v>
      </c>
      <c r="D1660" s="41" t="s">
        <v>46</v>
      </c>
      <c r="E1660" s="41" t="s">
        <v>47</v>
      </c>
      <c r="F1660" s="41" t="s">
        <v>48</v>
      </c>
    </row>
    <row r="1661" spans="1:6" ht="22.5">
      <c r="A1661" s="42">
        <v>80141607</v>
      </c>
      <c r="B1661" s="43" t="str">
        <f ca="1">IFERROR(INDEX(UNSPSCDes,MATCH(INDIRECT(ADDRESS(ROW(),COLUMN()-1,4)),UNSPSCCode,0)),"")</f>
        <v>Gestión de eventos</v>
      </c>
      <c r="C1661" s="42" t="s">
        <v>252</v>
      </c>
      <c r="D1661" s="42">
        <v>1</v>
      </c>
      <c r="E1661" s="45">
        <v>1000000</v>
      </c>
      <c r="F1661" s="46">
        <f ca="1">INDIRECT(ADDRESS(ROW(),COLUMN()-2,4))*INDIRECT(ADDRESS(ROW(),COLUMN()-1,4))</f>
        <v>1000000</v>
      </c>
    </row>
    <row r="1662" spans="1:6">
      <c r="A1662" s="50"/>
      <c r="B1662" s="50"/>
      <c r="C1662" s="50"/>
      <c r="D1662" s="50"/>
      <c r="E1662" s="51" t="s">
        <v>50</v>
      </c>
      <c r="F1662" s="48">
        <f ca="1">SUM(Table3132[MONTO TOTAL ESTIMADO])</f>
        <v>1000000</v>
      </c>
    </row>
    <row r="1663" spans="1:6" ht="17.25" thickBot="1">
      <c r="A1663" s="36"/>
      <c r="B1663" s="36"/>
      <c r="C1663" s="36"/>
      <c r="D1663" s="36"/>
      <c r="E1663" s="36"/>
      <c r="F1663" s="36"/>
    </row>
    <row r="1664" spans="1:6" ht="34.5" thickBot="1">
      <c r="A1664" s="1" t="s">
        <v>0</v>
      </c>
      <c r="B1664" s="1" t="s">
        <v>1</v>
      </c>
      <c r="C1664" s="1" t="s">
        <v>2</v>
      </c>
      <c r="D1664" s="1" t="s">
        <v>3</v>
      </c>
      <c r="E1664" s="1" t="s">
        <v>4</v>
      </c>
      <c r="F1664" s="1" t="s">
        <v>5</v>
      </c>
    </row>
    <row r="1665" spans="1:6" ht="15.75" thickBot="1">
      <c r="A1665" s="2" t="s">
        <v>306</v>
      </c>
      <c r="B1665" s="2" t="s">
        <v>307</v>
      </c>
      <c r="C1665" s="2" t="s">
        <v>8</v>
      </c>
      <c r="D1665" s="2" t="s">
        <v>53</v>
      </c>
      <c r="E1665" s="2" t="s">
        <v>42</v>
      </c>
      <c r="F1665" s="2"/>
    </row>
    <row r="1666" spans="1:6" ht="15.75" thickBot="1">
      <c r="A1666" s="3" t="s">
        <v>11</v>
      </c>
      <c r="B1666" s="4" t="s">
        <v>12</v>
      </c>
      <c r="C1666" s="5">
        <v>43223</v>
      </c>
      <c r="D1666" s="3" t="s">
        <v>13</v>
      </c>
      <c r="E1666" s="4" t="s">
        <v>14</v>
      </c>
      <c r="F1666" s="2"/>
    </row>
    <row r="1667" spans="1:6" ht="15.75" thickBot="1">
      <c r="A1667" s="6"/>
      <c r="B1667" s="4" t="s">
        <v>15</v>
      </c>
      <c r="C1667" s="7">
        <f>IF(C1666="","",IF(AND(MONTH(C1666)&gt;=1,MONTH(C1666)&lt;=3),1,IF(AND(MONTH(C1666)&gt;=4,MONTH(C1666)&lt;=6),2,IF(AND(MONTH(C1666)&gt;=7,MONTH(C1666)&lt;=9),3,4))))</f>
        <v>2</v>
      </c>
      <c r="D1667" s="6"/>
      <c r="E1667" s="4" t="s">
        <v>16</v>
      </c>
      <c r="F1667" s="2"/>
    </row>
    <row r="1668" spans="1:6" ht="15.75" thickBot="1">
      <c r="A1668" s="6"/>
      <c r="B1668" s="4" t="s">
        <v>17</v>
      </c>
      <c r="C1668" s="5">
        <v>43251</v>
      </c>
      <c r="D1668" s="6"/>
      <c r="E1668" s="4" t="s">
        <v>18</v>
      </c>
      <c r="F1668" s="2"/>
    </row>
    <row r="1669" spans="1:6" ht="15.75" thickBot="1">
      <c r="A1669" s="6"/>
      <c r="B1669" s="4" t="s">
        <v>15</v>
      </c>
      <c r="C1669" s="7">
        <f>IF(C1668="","",IF(AND(MONTH(C1668)&gt;=1,MONTH(C1668)&lt;=3),1,IF(AND(MONTH(C1668)&gt;=4,MONTH(C1668)&lt;=6),2,IF(AND(MONTH(C1668)&gt;=7,MONTH(C1668)&lt;=9),3,4))))</f>
        <v>2</v>
      </c>
      <c r="D1669" s="6"/>
      <c r="E1669" s="4" t="s">
        <v>19</v>
      </c>
      <c r="F1669" s="2"/>
    </row>
    <row r="1670" spans="1:6" ht="15.75" thickBot="1">
      <c r="A1670" s="50"/>
      <c r="B1670" s="50"/>
      <c r="C1670" s="50"/>
      <c r="D1670" s="50"/>
      <c r="E1670" s="50"/>
      <c r="F1670" s="50"/>
    </row>
    <row r="1671" spans="1:6" ht="15.75" thickBot="1">
      <c r="A1671" s="41" t="s">
        <v>43</v>
      </c>
      <c r="B1671" s="41" t="s">
        <v>44</v>
      </c>
      <c r="C1671" s="41" t="s">
        <v>45</v>
      </c>
      <c r="D1671" s="41" t="s">
        <v>46</v>
      </c>
      <c r="E1671" s="41" t="s">
        <v>47</v>
      </c>
      <c r="F1671" s="41" t="s">
        <v>48</v>
      </c>
    </row>
    <row r="1672" spans="1:6" ht="33.75">
      <c r="A1672" s="42">
        <v>43231512</v>
      </c>
      <c r="B1672" s="43" t="str">
        <f ca="1">IFERROR(INDEX(UNSPSCDes,MATCH(INDIRECT(ADDRESS(ROW(),COLUMN()-1,4)),UNSPSCCode,0)),"")</f>
        <v>Software de manejo de licencias</v>
      </c>
      <c r="C1672" s="42" t="s">
        <v>252</v>
      </c>
      <c r="D1672" s="42">
        <v>3</v>
      </c>
      <c r="E1672" s="45">
        <v>210000</v>
      </c>
      <c r="F1672" s="46">
        <f ca="1">INDIRECT(ADDRESS(ROW(),COLUMN()-2,4))*INDIRECT(ADDRESS(ROW(),COLUMN()-1,4))</f>
        <v>630000</v>
      </c>
    </row>
    <row r="1673" spans="1:6">
      <c r="A1673" s="50"/>
      <c r="B1673" s="50"/>
      <c r="C1673" s="50"/>
      <c r="D1673" s="50"/>
      <c r="E1673" s="51" t="s">
        <v>50</v>
      </c>
      <c r="F1673" s="48">
        <f ca="1">SUM(Table3133[MONTO TOTAL ESTIMADO])</f>
        <v>630000</v>
      </c>
    </row>
    <row r="1674" spans="1:6" ht="17.25" thickBot="1">
      <c r="A1674" s="36"/>
      <c r="B1674" s="36"/>
      <c r="C1674" s="36"/>
      <c r="D1674" s="36"/>
      <c r="E1674" s="36"/>
      <c r="F1674" s="36"/>
    </row>
    <row r="1675" spans="1:6" ht="34.5" thickBot="1">
      <c r="A1675" s="1" t="s">
        <v>0</v>
      </c>
      <c r="B1675" s="1" t="s">
        <v>1</v>
      </c>
      <c r="C1675" s="1" t="s">
        <v>2</v>
      </c>
      <c r="D1675" s="1" t="s">
        <v>3</v>
      </c>
      <c r="E1675" s="1" t="s">
        <v>4</v>
      </c>
      <c r="F1675" s="1" t="s">
        <v>5</v>
      </c>
    </row>
    <row r="1676" spans="1:6" ht="15.75" thickBot="1">
      <c r="A1676" s="2" t="s">
        <v>308</v>
      </c>
      <c r="B1676" s="2" t="s">
        <v>309</v>
      </c>
      <c r="C1676" s="2" t="s">
        <v>310</v>
      </c>
      <c r="D1676" s="2" t="s">
        <v>41</v>
      </c>
      <c r="E1676" s="2" t="s">
        <v>42</v>
      </c>
      <c r="F1676" s="2"/>
    </row>
    <row r="1677" spans="1:6" ht="15.75" thickBot="1">
      <c r="A1677" s="3" t="s">
        <v>11</v>
      </c>
      <c r="B1677" s="4" t="s">
        <v>12</v>
      </c>
      <c r="C1677" s="5">
        <v>43221</v>
      </c>
      <c r="D1677" s="3" t="s">
        <v>13</v>
      </c>
      <c r="E1677" s="4" t="s">
        <v>14</v>
      </c>
      <c r="F1677" s="2"/>
    </row>
    <row r="1678" spans="1:6" ht="15.75" thickBot="1">
      <c r="A1678" s="6"/>
      <c r="B1678" s="4" t="s">
        <v>15</v>
      </c>
      <c r="C1678" s="7">
        <f>IF(C1677="","",IF(AND(MONTH(C1677)&gt;=1,MONTH(C1677)&lt;=3),1,IF(AND(MONTH(C1677)&gt;=4,MONTH(C1677)&lt;=6),2,IF(AND(MONTH(C1677)&gt;=7,MONTH(C1677)&lt;=9),3,4))))</f>
        <v>2</v>
      </c>
      <c r="D1678" s="6"/>
      <c r="E1678" s="4" t="s">
        <v>16</v>
      </c>
      <c r="F1678" s="2"/>
    </row>
    <row r="1679" spans="1:6" ht="15.75" thickBot="1">
      <c r="A1679" s="6"/>
      <c r="B1679" s="4" t="s">
        <v>17</v>
      </c>
      <c r="C1679" s="5">
        <v>43235</v>
      </c>
      <c r="D1679" s="6"/>
      <c r="E1679" s="4" t="s">
        <v>18</v>
      </c>
      <c r="F1679" s="2"/>
    </row>
    <row r="1680" spans="1:6" ht="15.75" thickBot="1">
      <c r="A1680" s="6"/>
      <c r="B1680" s="4" t="s">
        <v>15</v>
      </c>
      <c r="C1680" s="7">
        <f>IF(C1679="","",IF(AND(MONTH(C1679)&gt;=1,MONTH(C1679)&lt;=3),1,IF(AND(MONTH(C1679)&gt;=4,MONTH(C1679)&lt;=6),2,IF(AND(MONTH(C1679)&gt;=7,MONTH(C1679)&lt;=9),3,4))))</f>
        <v>2</v>
      </c>
      <c r="D1680" s="6"/>
      <c r="E1680" s="4" t="s">
        <v>19</v>
      </c>
      <c r="F1680" s="2"/>
    </row>
    <row r="1681" spans="1:6" ht="15.75" thickBot="1">
      <c r="A1681" s="50"/>
      <c r="B1681" s="50"/>
      <c r="C1681" s="50"/>
      <c r="D1681" s="50"/>
      <c r="E1681" s="50"/>
      <c r="F1681" s="50"/>
    </row>
    <row r="1682" spans="1:6" ht="15.75" thickBot="1">
      <c r="A1682" s="41" t="s">
        <v>43</v>
      </c>
      <c r="B1682" s="41" t="s">
        <v>44</v>
      </c>
      <c r="C1682" s="41" t="s">
        <v>45</v>
      </c>
      <c r="D1682" s="41" t="s">
        <v>46</v>
      </c>
      <c r="E1682" s="41" t="s">
        <v>47</v>
      </c>
      <c r="F1682" s="41" t="s">
        <v>48</v>
      </c>
    </row>
    <row r="1683" spans="1:6" ht="56.25">
      <c r="A1683" s="42">
        <v>25191513</v>
      </c>
      <c r="B1683" s="43" t="str">
        <f ca="1">IFERROR(INDEX(UNSPSCDes,MATCH(INDIRECT(ADDRESS(ROW(),COLUMN()-1,4)),UNSPSCCode,0)),"")</f>
        <v>Kit de mantenimiento de vehículo de soporte en tierra</v>
      </c>
      <c r="C1683" s="42" t="s">
        <v>252</v>
      </c>
      <c r="D1683" s="42">
        <v>1</v>
      </c>
      <c r="E1683" s="45">
        <v>225000</v>
      </c>
      <c r="F1683" s="46">
        <f ca="1">INDIRECT(ADDRESS(ROW(),COLUMN()-2,4))*INDIRECT(ADDRESS(ROW(),COLUMN()-1,4))</f>
        <v>225000</v>
      </c>
    </row>
    <row r="1684" spans="1:6">
      <c r="A1684" s="50"/>
      <c r="B1684" s="50"/>
      <c r="C1684" s="50"/>
      <c r="D1684" s="50"/>
      <c r="E1684" s="51" t="s">
        <v>50</v>
      </c>
      <c r="F1684" s="48">
        <f ca="1">SUM(Table3134[MONTO TOTAL ESTIMADO])</f>
        <v>225000</v>
      </c>
    </row>
    <row r="1685" spans="1:6" ht="17.25" thickBot="1">
      <c r="A1685" s="36"/>
      <c r="B1685" s="36"/>
      <c r="C1685" s="36"/>
      <c r="D1685" s="36"/>
      <c r="E1685" s="36"/>
      <c r="F1685" s="36"/>
    </row>
    <row r="1686" spans="1:6" ht="34.5" thickBot="1">
      <c r="A1686" s="1" t="s">
        <v>0</v>
      </c>
      <c r="B1686" s="1" t="s">
        <v>1</v>
      </c>
      <c r="C1686" s="1" t="s">
        <v>2</v>
      </c>
      <c r="D1686" s="1" t="s">
        <v>3</v>
      </c>
      <c r="E1686" s="1" t="s">
        <v>4</v>
      </c>
      <c r="F1686" s="1" t="s">
        <v>5</v>
      </c>
    </row>
    <row r="1687" spans="1:6" ht="15.75" thickBot="1">
      <c r="A1687" s="2" t="s">
        <v>308</v>
      </c>
      <c r="B1687" s="2" t="s">
        <v>311</v>
      </c>
      <c r="C1687" s="2" t="s">
        <v>8</v>
      </c>
      <c r="D1687" s="2" t="s">
        <v>41</v>
      </c>
      <c r="E1687" s="2" t="s">
        <v>42</v>
      </c>
      <c r="F1687" s="2"/>
    </row>
    <row r="1688" spans="1:6" ht="15.75" thickBot="1">
      <c r="A1688" s="3" t="s">
        <v>11</v>
      </c>
      <c r="B1688" s="4" t="s">
        <v>12</v>
      </c>
      <c r="C1688" s="5">
        <v>43195</v>
      </c>
      <c r="D1688" s="3" t="s">
        <v>13</v>
      </c>
      <c r="E1688" s="4" t="s">
        <v>14</v>
      </c>
      <c r="F1688" s="2"/>
    </row>
    <row r="1689" spans="1:6" ht="15.75" thickBot="1">
      <c r="A1689" s="6"/>
      <c r="B1689" s="4" t="s">
        <v>15</v>
      </c>
      <c r="C1689" s="7">
        <f>IF(C1688="","",IF(AND(MONTH(C1688)&gt;=1,MONTH(C1688)&lt;=3),1,IF(AND(MONTH(C1688)&gt;=4,MONTH(C1688)&lt;=6),2,IF(AND(MONTH(C1688)&gt;=7,MONTH(C1688)&lt;=9),3,4))))</f>
        <v>2</v>
      </c>
      <c r="D1689" s="6"/>
      <c r="E1689" s="4" t="s">
        <v>16</v>
      </c>
      <c r="F1689" s="2"/>
    </row>
    <row r="1690" spans="1:6" ht="15.75" thickBot="1">
      <c r="A1690" s="6"/>
      <c r="B1690" s="4" t="s">
        <v>17</v>
      </c>
      <c r="C1690" s="5">
        <v>43207</v>
      </c>
      <c r="D1690" s="6"/>
      <c r="E1690" s="4" t="s">
        <v>18</v>
      </c>
      <c r="F1690" s="2"/>
    </row>
    <row r="1691" spans="1:6" ht="15.75" thickBot="1">
      <c r="A1691" s="6"/>
      <c r="B1691" s="4" t="s">
        <v>15</v>
      </c>
      <c r="C1691" s="7">
        <f>IF(C1690="","",IF(AND(MONTH(C1690)&gt;=1,MONTH(C1690)&lt;=3),1,IF(AND(MONTH(C1690)&gt;=4,MONTH(C1690)&lt;=6),2,IF(AND(MONTH(C1690)&gt;=7,MONTH(C1690)&lt;=9),3,4))))</f>
        <v>2</v>
      </c>
      <c r="D1691" s="6"/>
      <c r="E1691" s="4" t="s">
        <v>19</v>
      </c>
      <c r="F1691" s="2"/>
    </row>
    <row r="1692" spans="1:6" ht="15.75" thickBot="1">
      <c r="A1692" s="50"/>
      <c r="B1692" s="50"/>
      <c r="C1692" s="50"/>
      <c r="D1692" s="50"/>
      <c r="E1692" s="50"/>
      <c r="F1692" s="50"/>
    </row>
    <row r="1693" spans="1:6" ht="15.75" thickBot="1">
      <c r="A1693" s="41" t="s">
        <v>43</v>
      </c>
      <c r="B1693" s="41" t="s">
        <v>44</v>
      </c>
      <c r="C1693" s="41" t="s">
        <v>45</v>
      </c>
      <c r="D1693" s="41" t="s">
        <v>46</v>
      </c>
      <c r="E1693" s="41" t="s">
        <v>47</v>
      </c>
      <c r="F1693" s="41" t="s">
        <v>48</v>
      </c>
    </row>
    <row r="1694" spans="1:6" ht="56.25">
      <c r="A1694" s="42">
        <v>25191513</v>
      </c>
      <c r="B1694" s="43" t="str">
        <f ca="1">IFERROR(INDEX(UNSPSCDes,MATCH(INDIRECT(ADDRESS(ROW(),COLUMN()-1,4)),UNSPSCCode,0)),"")</f>
        <v>Kit de mantenimiento de vehículo de soporte en tierra</v>
      </c>
      <c r="C1694" s="42" t="s">
        <v>252</v>
      </c>
      <c r="D1694" s="42">
        <v>1</v>
      </c>
      <c r="E1694" s="45">
        <v>265000</v>
      </c>
      <c r="F1694" s="46">
        <f ca="1">INDIRECT(ADDRESS(ROW(),COLUMN()-2,4))*INDIRECT(ADDRESS(ROW(),COLUMN()-1,4))</f>
        <v>265000</v>
      </c>
    </row>
    <row r="1695" spans="1:6">
      <c r="A1695" s="50"/>
      <c r="B1695" s="50"/>
      <c r="C1695" s="50"/>
      <c r="D1695" s="50"/>
      <c r="E1695" s="51" t="s">
        <v>50</v>
      </c>
      <c r="F1695" s="48">
        <f ca="1">SUM(Table3135[MONTO TOTAL ESTIMADO])</f>
        <v>265000</v>
      </c>
    </row>
    <row r="1696" spans="1:6" ht="17.25" thickBot="1">
      <c r="A1696" s="36"/>
      <c r="B1696" s="36"/>
      <c r="C1696" s="36"/>
      <c r="D1696" s="36"/>
      <c r="E1696" s="36"/>
      <c r="F1696" s="36"/>
    </row>
    <row r="1697" spans="1:6" ht="34.5" thickBot="1">
      <c r="A1697" s="1" t="s">
        <v>0</v>
      </c>
      <c r="B1697" s="1" t="s">
        <v>1</v>
      </c>
      <c r="C1697" s="1" t="s">
        <v>2</v>
      </c>
      <c r="D1697" s="1" t="s">
        <v>3</v>
      </c>
      <c r="E1697" s="1" t="s">
        <v>4</v>
      </c>
      <c r="F1697" s="1" t="s">
        <v>5</v>
      </c>
    </row>
    <row r="1698" spans="1:6" ht="15.75" thickBot="1">
      <c r="A1698" s="2" t="s">
        <v>312</v>
      </c>
      <c r="B1698" s="2" t="s">
        <v>313</v>
      </c>
      <c r="C1698" s="2" t="s">
        <v>8</v>
      </c>
      <c r="D1698" s="2" t="s">
        <v>41</v>
      </c>
      <c r="E1698" s="2" t="s">
        <v>63</v>
      </c>
      <c r="F1698" s="2"/>
    </row>
    <row r="1699" spans="1:6" ht="15.75" thickBot="1">
      <c r="A1699" s="3" t="s">
        <v>11</v>
      </c>
      <c r="B1699" s="4" t="s">
        <v>12</v>
      </c>
      <c r="C1699" s="5">
        <v>43224</v>
      </c>
      <c r="D1699" s="3" t="s">
        <v>13</v>
      </c>
      <c r="E1699" s="4" t="s">
        <v>14</v>
      </c>
      <c r="F1699" s="2"/>
    </row>
    <row r="1700" spans="1:6" ht="15.75" thickBot="1">
      <c r="A1700" s="6"/>
      <c r="B1700" s="4" t="s">
        <v>15</v>
      </c>
      <c r="C1700" s="7">
        <f>IF(C1699="","",IF(AND(MONTH(C1699)&gt;=1,MONTH(C1699)&lt;=3),1,IF(AND(MONTH(C1699)&gt;=4,MONTH(C1699)&lt;=6),2,IF(AND(MONTH(C1699)&gt;=7,MONTH(C1699)&lt;=9),3,4))))</f>
        <v>2</v>
      </c>
      <c r="D1700" s="6"/>
      <c r="E1700" s="4" t="s">
        <v>16</v>
      </c>
      <c r="F1700" s="2"/>
    </row>
    <row r="1701" spans="1:6" ht="15.75" thickBot="1">
      <c r="A1701" s="6"/>
      <c r="B1701" s="4" t="s">
        <v>17</v>
      </c>
      <c r="C1701" s="5">
        <v>43228</v>
      </c>
      <c r="D1701" s="6"/>
      <c r="E1701" s="4" t="s">
        <v>18</v>
      </c>
      <c r="F1701" s="2"/>
    </row>
    <row r="1702" spans="1:6" ht="15.75" thickBot="1">
      <c r="A1702" s="6"/>
      <c r="B1702" s="4" t="s">
        <v>15</v>
      </c>
      <c r="C1702" s="7">
        <f>IF(C1701="","",IF(AND(MONTH(C1701)&gt;=1,MONTH(C1701)&lt;=3),1,IF(AND(MONTH(C1701)&gt;=4,MONTH(C1701)&lt;=6),2,IF(AND(MONTH(C1701)&gt;=7,MONTH(C1701)&lt;=9),3,4))))</f>
        <v>2</v>
      </c>
      <c r="D1702" s="6"/>
      <c r="E1702" s="4" t="s">
        <v>19</v>
      </c>
      <c r="F1702" s="2"/>
    </row>
    <row r="1703" spans="1:6" ht="15.75" thickBot="1">
      <c r="A1703" s="50"/>
      <c r="B1703" s="50"/>
      <c r="C1703" s="50"/>
      <c r="D1703" s="50"/>
      <c r="E1703" s="50"/>
      <c r="F1703" s="50"/>
    </row>
    <row r="1704" spans="1:6" ht="15.75" thickBot="1">
      <c r="A1704" s="41" t="s">
        <v>43</v>
      </c>
      <c r="B1704" s="41" t="s">
        <v>44</v>
      </c>
      <c r="C1704" s="41" t="s">
        <v>45</v>
      </c>
      <c r="D1704" s="41" t="s">
        <v>46</v>
      </c>
      <c r="E1704" s="41" t="s">
        <v>47</v>
      </c>
      <c r="F1704" s="41" t="s">
        <v>48</v>
      </c>
    </row>
    <row r="1705" spans="1:6" ht="22.5">
      <c r="A1705" s="42">
        <v>82101602</v>
      </c>
      <c r="B1705" s="43" t="str">
        <f ca="1">IFERROR(INDEX(UNSPSCDes,MATCH(INDIRECT(ADDRESS(ROW(),COLUMN()-1,4)),UNSPSCCode,0)),"")</f>
        <v>Publicidad en televisión</v>
      </c>
      <c r="C1705" s="42" t="s">
        <v>252</v>
      </c>
      <c r="D1705" s="42">
        <v>1</v>
      </c>
      <c r="E1705" s="45">
        <v>460000</v>
      </c>
      <c r="F1705" s="46">
        <f ca="1">INDIRECT(ADDRESS(ROW(),COLUMN()-2,4))*INDIRECT(ADDRESS(ROW(),COLUMN()-1,4))</f>
        <v>460000</v>
      </c>
    </row>
    <row r="1706" spans="1:6">
      <c r="A1706" s="50"/>
      <c r="B1706" s="50"/>
      <c r="C1706" s="50"/>
      <c r="D1706" s="50"/>
      <c r="E1706" s="51" t="s">
        <v>50</v>
      </c>
      <c r="F1706" s="48">
        <f ca="1">SUM(Table3136[MONTO TOTAL ESTIMADO])</f>
        <v>460000</v>
      </c>
    </row>
    <row r="1707" spans="1:6" ht="17.25" thickBot="1">
      <c r="A1707" s="36"/>
      <c r="B1707" s="36"/>
      <c r="C1707" s="36"/>
      <c r="D1707" s="36"/>
      <c r="E1707" s="36"/>
      <c r="F1707" s="36"/>
    </row>
    <row r="1708" spans="1:6" ht="34.5" thickBot="1">
      <c r="A1708" s="1" t="s">
        <v>0</v>
      </c>
      <c r="B1708" s="1" t="s">
        <v>1</v>
      </c>
      <c r="C1708" s="1" t="s">
        <v>2</v>
      </c>
      <c r="D1708" s="1" t="s">
        <v>3</v>
      </c>
      <c r="E1708" s="1" t="s">
        <v>4</v>
      </c>
      <c r="F1708" s="1" t="s">
        <v>5</v>
      </c>
    </row>
    <row r="1709" spans="1:6" ht="15.75" thickBot="1">
      <c r="A1709" s="2" t="s">
        <v>312</v>
      </c>
      <c r="B1709" s="2" t="s">
        <v>314</v>
      </c>
      <c r="C1709" s="2" t="s">
        <v>8</v>
      </c>
      <c r="D1709" s="2" t="s">
        <v>41</v>
      </c>
      <c r="E1709" s="2" t="s">
        <v>63</v>
      </c>
      <c r="F1709" s="2"/>
    </row>
    <row r="1710" spans="1:6" ht="15.75" thickBot="1">
      <c r="A1710" s="3" t="s">
        <v>11</v>
      </c>
      <c r="B1710" s="4" t="s">
        <v>12</v>
      </c>
      <c r="C1710" s="5">
        <v>43240</v>
      </c>
      <c r="D1710" s="3" t="s">
        <v>13</v>
      </c>
      <c r="E1710" s="4" t="s">
        <v>14</v>
      </c>
      <c r="F1710" s="2"/>
    </row>
    <row r="1711" spans="1:6" ht="15.75" thickBot="1">
      <c r="A1711" s="6"/>
      <c r="B1711" s="4" t="s">
        <v>15</v>
      </c>
      <c r="C1711" s="7">
        <f>IF(C1710="","",IF(AND(MONTH(C1710)&gt;=1,MONTH(C1710)&lt;=3),1,IF(AND(MONTH(C1710)&gt;=4,MONTH(C1710)&lt;=6),2,IF(AND(MONTH(C1710)&gt;=7,MONTH(C1710)&lt;=9),3,4))))</f>
        <v>2</v>
      </c>
      <c r="D1711" s="6"/>
      <c r="E1711" s="4" t="s">
        <v>16</v>
      </c>
      <c r="F1711" s="2"/>
    </row>
    <row r="1712" spans="1:6" ht="15.75" thickBot="1">
      <c r="A1712" s="6"/>
      <c r="B1712" s="4" t="s">
        <v>17</v>
      </c>
      <c r="C1712" s="5">
        <v>43253</v>
      </c>
      <c r="D1712" s="6"/>
      <c r="E1712" s="4" t="s">
        <v>18</v>
      </c>
      <c r="F1712" s="2"/>
    </row>
    <row r="1713" spans="1:6" ht="15.75" thickBot="1">
      <c r="A1713" s="6"/>
      <c r="B1713" s="4" t="s">
        <v>15</v>
      </c>
      <c r="C1713" s="7">
        <f>IF(C1712="","",IF(AND(MONTH(C1712)&gt;=1,MONTH(C1712)&lt;=3),1,IF(AND(MONTH(C1712)&gt;=4,MONTH(C1712)&lt;=6),2,IF(AND(MONTH(C1712)&gt;=7,MONTH(C1712)&lt;=9),3,4))))</f>
        <v>2</v>
      </c>
      <c r="D1713" s="6"/>
      <c r="E1713" s="4" t="s">
        <v>19</v>
      </c>
      <c r="F1713" s="2"/>
    </row>
    <row r="1714" spans="1:6" ht="15.75" thickBot="1">
      <c r="A1714" s="50"/>
      <c r="B1714" s="50"/>
      <c r="C1714" s="50"/>
      <c r="D1714" s="50"/>
      <c r="E1714" s="50"/>
      <c r="F1714" s="50"/>
    </row>
    <row r="1715" spans="1:6" ht="15.75" thickBot="1">
      <c r="A1715" s="41" t="s">
        <v>43</v>
      </c>
      <c r="B1715" s="41" t="s">
        <v>44</v>
      </c>
      <c r="C1715" s="41" t="s">
        <v>45</v>
      </c>
      <c r="D1715" s="41" t="s">
        <v>46</v>
      </c>
      <c r="E1715" s="41" t="s">
        <v>47</v>
      </c>
      <c r="F1715" s="41" t="s">
        <v>48</v>
      </c>
    </row>
    <row r="1716" spans="1:6" ht="22.5">
      <c r="A1716" s="42">
        <v>82101602</v>
      </c>
      <c r="B1716" s="43" t="str">
        <f ca="1">IFERROR(INDEX(UNSPSCDes,MATCH(INDIRECT(ADDRESS(ROW(),COLUMN()-1,4)),UNSPSCCode,0)),"")</f>
        <v>Publicidad en televisión</v>
      </c>
      <c r="C1716" s="42" t="s">
        <v>252</v>
      </c>
      <c r="D1716" s="42">
        <v>1</v>
      </c>
      <c r="E1716" s="45">
        <v>700000</v>
      </c>
      <c r="F1716" s="46">
        <f ca="1">INDIRECT(ADDRESS(ROW(),COLUMN()-2,4))*INDIRECT(ADDRESS(ROW(),COLUMN()-1,4))</f>
        <v>700000</v>
      </c>
    </row>
    <row r="1717" spans="1:6">
      <c r="A1717" s="50"/>
      <c r="B1717" s="50"/>
      <c r="C1717" s="50"/>
      <c r="D1717" s="50"/>
      <c r="E1717" s="51" t="s">
        <v>50</v>
      </c>
      <c r="F1717" s="48">
        <f ca="1">SUM(Table3137[MONTO TOTAL ESTIMADO])</f>
        <v>700000</v>
      </c>
    </row>
    <row r="1718" spans="1:6" ht="17.25" thickBot="1">
      <c r="A1718" s="36"/>
      <c r="B1718" s="36"/>
      <c r="C1718" s="36"/>
      <c r="D1718" s="36"/>
      <c r="E1718" s="36"/>
      <c r="F1718" s="36"/>
    </row>
    <row r="1719" spans="1:6" ht="34.5" thickBot="1">
      <c r="A1719" s="1" t="s">
        <v>0</v>
      </c>
      <c r="B1719" s="1" t="s">
        <v>1</v>
      </c>
      <c r="C1719" s="1" t="s">
        <v>2</v>
      </c>
      <c r="D1719" s="1" t="s">
        <v>3</v>
      </c>
      <c r="E1719" s="1" t="s">
        <v>4</v>
      </c>
      <c r="F1719" s="1" t="s">
        <v>5</v>
      </c>
    </row>
    <row r="1720" spans="1:6" ht="15.75" thickBot="1">
      <c r="A1720" s="2" t="s">
        <v>306</v>
      </c>
      <c r="B1720" s="2" t="s">
        <v>315</v>
      </c>
      <c r="C1720" s="2" t="s">
        <v>8</v>
      </c>
      <c r="D1720" s="2" t="s">
        <v>53</v>
      </c>
      <c r="E1720" s="2" t="s">
        <v>42</v>
      </c>
      <c r="F1720" s="2"/>
    </row>
    <row r="1721" spans="1:6" ht="15.75" thickBot="1">
      <c r="A1721" s="3" t="s">
        <v>11</v>
      </c>
      <c r="B1721" s="4" t="s">
        <v>12</v>
      </c>
      <c r="C1721" s="5">
        <v>43374</v>
      </c>
      <c r="D1721" s="3" t="s">
        <v>13</v>
      </c>
      <c r="E1721" s="4" t="s">
        <v>14</v>
      </c>
      <c r="F1721" s="2"/>
    </row>
    <row r="1722" spans="1:6" ht="15.75" thickBot="1">
      <c r="A1722" s="6"/>
      <c r="B1722" s="4" t="s">
        <v>15</v>
      </c>
      <c r="C1722" s="7">
        <f>IF(C1721="","",IF(AND(MONTH(C1721)&gt;=1,MONTH(C1721)&lt;=3),1,IF(AND(MONTH(C1721)&gt;=4,MONTH(C1721)&lt;=6),2,IF(AND(MONTH(C1721)&gt;=7,MONTH(C1721)&lt;=9),3,4))))</f>
        <v>4</v>
      </c>
      <c r="D1722" s="6"/>
      <c r="E1722" s="4" t="s">
        <v>16</v>
      </c>
      <c r="F1722" s="2"/>
    </row>
    <row r="1723" spans="1:6" ht="15.75" thickBot="1">
      <c r="A1723" s="6"/>
      <c r="B1723" s="4" t="s">
        <v>17</v>
      </c>
      <c r="C1723" s="5">
        <v>43398</v>
      </c>
      <c r="D1723" s="6"/>
      <c r="E1723" s="4" t="s">
        <v>18</v>
      </c>
      <c r="F1723" s="2"/>
    </row>
    <row r="1724" spans="1:6" ht="15.75" thickBot="1">
      <c r="A1724" s="6"/>
      <c r="B1724" s="4" t="s">
        <v>15</v>
      </c>
      <c r="C1724" s="7">
        <f>IF(C1723="","",IF(AND(MONTH(C1723)&gt;=1,MONTH(C1723)&lt;=3),1,IF(AND(MONTH(C1723)&gt;=4,MONTH(C1723)&lt;=6),2,IF(AND(MONTH(C1723)&gt;=7,MONTH(C1723)&lt;=9),3,4))))</f>
        <v>4</v>
      </c>
      <c r="D1724" s="6"/>
      <c r="E1724" s="4" t="s">
        <v>19</v>
      </c>
      <c r="F1724" s="2"/>
    </row>
    <row r="1725" spans="1:6" ht="15.75" thickBot="1">
      <c r="A1725" s="50"/>
      <c r="B1725" s="50"/>
      <c r="C1725" s="50"/>
      <c r="D1725" s="50"/>
      <c r="E1725" s="50"/>
      <c r="F1725" s="50"/>
    </row>
    <row r="1726" spans="1:6" ht="15.75" thickBot="1">
      <c r="A1726" s="41" t="s">
        <v>43</v>
      </c>
      <c r="B1726" s="41" t="s">
        <v>44</v>
      </c>
      <c r="C1726" s="41" t="s">
        <v>45</v>
      </c>
      <c r="D1726" s="41" t="s">
        <v>46</v>
      </c>
      <c r="E1726" s="41" t="s">
        <v>47</v>
      </c>
      <c r="F1726" s="41" t="s">
        <v>48</v>
      </c>
    </row>
    <row r="1727" spans="1:6" ht="33.75">
      <c r="A1727" s="42">
        <v>43231512</v>
      </c>
      <c r="B1727" s="43" t="str">
        <f ca="1">IFERROR(INDEX(UNSPSCDes,MATCH(INDIRECT(ADDRESS(ROW(),COLUMN()-1,4)),UNSPSCCode,0)),"")</f>
        <v>Software de manejo de licencias</v>
      </c>
      <c r="C1727" s="42" t="s">
        <v>252</v>
      </c>
      <c r="D1727" s="42">
        <v>1</v>
      </c>
      <c r="E1727" s="45">
        <v>325000</v>
      </c>
      <c r="F1727" s="46">
        <f ca="1">INDIRECT(ADDRESS(ROW(),COLUMN()-2,4))*INDIRECT(ADDRESS(ROW(),COLUMN()-1,4))</f>
        <v>325000</v>
      </c>
    </row>
    <row r="1728" spans="1:6">
      <c r="A1728" s="50"/>
      <c r="B1728" s="50"/>
      <c r="C1728" s="50"/>
      <c r="D1728" s="50"/>
      <c r="E1728" s="51" t="s">
        <v>50</v>
      </c>
      <c r="F1728" s="48">
        <f ca="1">SUM(Table3138[MONTO TOTAL ESTIMADO])</f>
        <v>325000</v>
      </c>
    </row>
    <row r="1729" spans="1:6" ht="17.25" thickBot="1">
      <c r="A1729" s="36"/>
      <c r="B1729" s="36"/>
      <c r="C1729" s="36"/>
      <c r="D1729" s="36"/>
      <c r="E1729" s="36"/>
      <c r="F1729" s="36"/>
    </row>
    <row r="1730" spans="1:6" ht="34.5" thickBot="1">
      <c r="A1730" s="1" t="s">
        <v>0</v>
      </c>
      <c r="B1730" s="1" t="s">
        <v>1</v>
      </c>
      <c r="C1730" s="1" t="s">
        <v>2</v>
      </c>
      <c r="D1730" s="1" t="s">
        <v>3</v>
      </c>
      <c r="E1730" s="1" t="s">
        <v>4</v>
      </c>
      <c r="F1730" s="1" t="s">
        <v>5</v>
      </c>
    </row>
    <row r="1731" spans="1:6" ht="15.75" thickBot="1">
      <c r="A1731" s="2" t="s">
        <v>316</v>
      </c>
      <c r="B1731" s="2" t="s">
        <v>317</v>
      </c>
      <c r="C1731" s="2" t="s">
        <v>8</v>
      </c>
      <c r="D1731" s="2" t="s">
        <v>41</v>
      </c>
      <c r="E1731" s="2" t="s">
        <v>42</v>
      </c>
      <c r="F1731" s="2"/>
    </row>
    <row r="1732" spans="1:6" ht="15.75" thickBot="1">
      <c r="A1732" s="3" t="s">
        <v>11</v>
      </c>
      <c r="B1732" s="4" t="s">
        <v>12</v>
      </c>
      <c r="C1732" s="5">
        <v>43215</v>
      </c>
      <c r="D1732" s="3" t="s">
        <v>13</v>
      </c>
      <c r="E1732" s="4" t="s">
        <v>14</v>
      </c>
      <c r="F1732" s="2"/>
    </row>
    <row r="1733" spans="1:6" ht="15.75" thickBot="1">
      <c r="A1733" s="6"/>
      <c r="B1733" s="4" t="s">
        <v>15</v>
      </c>
      <c r="C1733" s="7">
        <f>IF(C1732="","",IF(AND(MONTH(C1732)&gt;=1,MONTH(C1732)&lt;=3),1,IF(AND(MONTH(C1732)&gt;=4,MONTH(C1732)&lt;=6),2,IF(AND(MONTH(C1732)&gt;=7,MONTH(C1732)&lt;=9),3,4))))</f>
        <v>2</v>
      </c>
      <c r="D1733" s="6"/>
      <c r="E1733" s="4" t="s">
        <v>16</v>
      </c>
      <c r="F1733" s="2"/>
    </row>
    <row r="1734" spans="1:6" ht="15.75" thickBot="1">
      <c r="A1734" s="6"/>
      <c r="B1734" s="4" t="s">
        <v>17</v>
      </c>
      <c r="C1734" s="5">
        <v>43218</v>
      </c>
      <c r="D1734" s="6"/>
      <c r="E1734" s="4" t="s">
        <v>18</v>
      </c>
      <c r="F1734" s="2"/>
    </row>
    <row r="1735" spans="1:6" ht="15.75" thickBot="1">
      <c r="A1735" s="6"/>
      <c r="B1735" s="4" t="s">
        <v>15</v>
      </c>
      <c r="C1735" s="7">
        <f>IF(C1734="","",IF(AND(MONTH(C1734)&gt;=1,MONTH(C1734)&lt;=3),1,IF(AND(MONTH(C1734)&gt;=4,MONTH(C1734)&lt;=6),2,IF(AND(MONTH(C1734)&gt;=7,MONTH(C1734)&lt;=9),3,4))))</f>
        <v>2</v>
      </c>
      <c r="D1735" s="6"/>
      <c r="E1735" s="4" t="s">
        <v>19</v>
      </c>
      <c r="F1735" s="2"/>
    </row>
    <row r="1736" spans="1:6" ht="15.75" thickBot="1">
      <c r="A1736" s="50"/>
      <c r="B1736" s="50"/>
      <c r="C1736" s="50"/>
      <c r="D1736" s="50"/>
      <c r="E1736" s="50"/>
      <c r="F1736" s="50"/>
    </row>
    <row r="1737" spans="1:6" ht="15.75" thickBot="1">
      <c r="A1737" s="41" t="s">
        <v>43</v>
      </c>
      <c r="B1737" s="41" t="s">
        <v>44</v>
      </c>
      <c r="C1737" s="41" t="s">
        <v>45</v>
      </c>
      <c r="D1737" s="41" t="s">
        <v>46</v>
      </c>
      <c r="E1737" s="41" t="s">
        <v>47</v>
      </c>
      <c r="F1737" s="41" t="s">
        <v>48</v>
      </c>
    </row>
    <row r="1738" spans="1:6" ht="33.75">
      <c r="A1738" s="42">
        <v>78111502</v>
      </c>
      <c r="B1738" s="43" t="str">
        <f ca="1">IFERROR(INDEX(UNSPSCDes,MATCH(INDIRECT(ADDRESS(ROW(),COLUMN()-1,4)),UNSPSCCode,0)),"")</f>
        <v>Viajes en aviones comerciales</v>
      </c>
      <c r="C1738" s="42" t="s">
        <v>252</v>
      </c>
      <c r="D1738" s="42">
        <v>2</v>
      </c>
      <c r="E1738" s="45">
        <v>248500</v>
      </c>
      <c r="F1738" s="46">
        <f ca="1">INDIRECT(ADDRESS(ROW(),COLUMN()-2,4))*INDIRECT(ADDRESS(ROW(),COLUMN()-1,4))</f>
        <v>497000</v>
      </c>
    </row>
    <row r="1739" spans="1:6" ht="33.75">
      <c r="A1739" s="42">
        <v>78111502</v>
      </c>
      <c r="B1739" s="43" t="str">
        <f ca="1">IFERROR(INDEX(UNSPSCDes,MATCH(INDIRECT(ADDRESS(ROW(),COLUMN()-1,4)),UNSPSCCode,0)),"")</f>
        <v>Viajes en aviones comerciales</v>
      </c>
      <c r="C1739" s="42" t="s">
        <v>252</v>
      </c>
      <c r="D1739" s="42">
        <v>2</v>
      </c>
      <c r="E1739" s="45">
        <v>89250</v>
      </c>
      <c r="F1739" s="46">
        <f ca="1">INDIRECT(ADDRESS(ROW(),COLUMN()-2,4))*INDIRECT(ADDRESS(ROW(),COLUMN()-1,4))</f>
        <v>178500</v>
      </c>
    </row>
    <row r="1740" spans="1:6">
      <c r="A1740" s="50"/>
      <c r="B1740" s="50"/>
      <c r="C1740" s="50"/>
      <c r="D1740" s="50"/>
      <c r="E1740" s="51" t="s">
        <v>50</v>
      </c>
      <c r="F1740" s="48">
        <f ca="1">SUM(Table3139[MONTO TOTAL ESTIMADO])</f>
        <v>675500</v>
      </c>
    </row>
    <row r="1741" spans="1:6" ht="17.25" thickBot="1">
      <c r="A1741" s="36"/>
      <c r="B1741" s="36"/>
      <c r="C1741" s="36"/>
      <c r="D1741" s="36"/>
      <c r="E1741" s="36"/>
      <c r="F1741" s="36"/>
    </row>
    <row r="1742" spans="1:6" ht="34.5" thickBot="1">
      <c r="A1742" s="1" t="s">
        <v>0</v>
      </c>
      <c r="B1742" s="1" t="s">
        <v>1</v>
      </c>
      <c r="C1742" s="1" t="s">
        <v>2</v>
      </c>
      <c r="D1742" s="1" t="s">
        <v>3</v>
      </c>
      <c r="E1742" s="1" t="s">
        <v>4</v>
      </c>
      <c r="F1742" s="1" t="s">
        <v>5</v>
      </c>
    </row>
    <row r="1743" spans="1:6" ht="15.75" thickBot="1">
      <c r="A1743" s="2" t="s">
        <v>318</v>
      </c>
      <c r="B1743" s="2" t="s">
        <v>319</v>
      </c>
      <c r="C1743" s="2" t="s">
        <v>40</v>
      </c>
      <c r="D1743" s="2" t="s">
        <v>53</v>
      </c>
      <c r="E1743" s="2" t="s">
        <v>42</v>
      </c>
      <c r="F1743" s="2"/>
    </row>
    <row r="1744" spans="1:6" ht="15.75" thickBot="1">
      <c r="A1744" s="3" t="s">
        <v>11</v>
      </c>
      <c r="B1744" s="4" t="s">
        <v>12</v>
      </c>
      <c r="C1744" s="5">
        <v>43160</v>
      </c>
      <c r="D1744" s="3" t="s">
        <v>13</v>
      </c>
      <c r="E1744" s="4" t="s">
        <v>14</v>
      </c>
      <c r="F1744" s="2"/>
    </row>
    <row r="1745" spans="1:6" ht="15.75" thickBot="1">
      <c r="A1745" s="6"/>
      <c r="B1745" s="4" t="s">
        <v>15</v>
      </c>
      <c r="C1745" s="7">
        <f>IF(C1744="","",IF(AND(MONTH(C1744)&gt;=1,MONTH(C1744)&lt;=3),1,IF(AND(MONTH(C1744)&gt;=4,MONTH(C1744)&lt;=6),2,IF(AND(MONTH(C1744)&gt;=7,MONTH(C1744)&lt;=9),3,4))))</f>
        <v>1</v>
      </c>
      <c r="D1745" s="6"/>
      <c r="E1745" s="4" t="s">
        <v>16</v>
      </c>
      <c r="F1745" s="2"/>
    </row>
    <row r="1746" spans="1:6" ht="15.75" thickBot="1">
      <c r="A1746" s="6"/>
      <c r="B1746" s="4" t="s">
        <v>17</v>
      </c>
      <c r="C1746" s="5">
        <v>43174</v>
      </c>
      <c r="D1746" s="6"/>
      <c r="E1746" s="4" t="s">
        <v>18</v>
      </c>
      <c r="F1746" s="2"/>
    </row>
    <row r="1747" spans="1:6" ht="15.75" thickBot="1">
      <c r="A1747" s="6"/>
      <c r="B1747" s="4" t="s">
        <v>15</v>
      </c>
      <c r="C1747" s="7">
        <f>IF(C1746="","",IF(AND(MONTH(C1746)&gt;=1,MONTH(C1746)&lt;=3),1,IF(AND(MONTH(C1746)&gt;=4,MONTH(C1746)&lt;=6),2,IF(AND(MONTH(C1746)&gt;=7,MONTH(C1746)&lt;=9),3,4))))</f>
        <v>1</v>
      </c>
      <c r="D1747" s="6"/>
      <c r="E1747" s="4" t="s">
        <v>19</v>
      </c>
      <c r="F1747" s="2"/>
    </row>
    <row r="1748" spans="1:6" ht="15.75" thickBot="1">
      <c r="A1748" s="50"/>
      <c r="B1748" s="50"/>
      <c r="C1748" s="50"/>
      <c r="D1748" s="50"/>
      <c r="E1748" s="50"/>
      <c r="F1748" s="50"/>
    </row>
    <row r="1749" spans="1:6" ht="15.75" thickBot="1">
      <c r="A1749" s="41" t="s">
        <v>43</v>
      </c>
      <c r="B1749" s="41" t="s">
        <v>44</v>
      </c>
      <c r="C1749" s="41" t="s">
        <v>45</v>
      </c>
      <c r="D1749" s="41" t="s">
        <v>46</v>
      </c>
      <c r="E1749" s="41" t="s">
        <v>47</v>
      </c>
      <c r="F1749" s="41" t="s">
        <v>48</v>
      </c>
    </row>
    <row r="1750" spans="1:6" ht="22.5">
      <c r="A1750" s="42">
        <v>26111703</v>
      </c>
      <c r="B1750" s="43" t="str">
        <f ca="1">IFERROR(INDEX(UNSPSCDes,MATCH(INDIRECT(ADDRESS(ROW(),COLUMN()-1,4)),UNSPSCCode,0)),"")</f>
        <v>Baterías para vehículos</v>
      </c>
      <c r="C1750" s="42" t="s">
        <v>252</v>
      </c>
      <c r="D1750" s="42">
        <v>54</v>
      </c>
      <c r="E1750" s="45">
        <v>6411.5</v>
      </c>
      <c r="F1750" s="46">
        <f ca="1">INDIRECT(ADDRESS(ROW(),COLUMN()-2,4))*INDIRECT(ADDRESS(ROW(),COLUMN()-1,4))</f>
        <v>346221</v>
      </c>
    </row>
    <row r="1751" spans="1:6">
      <c r="A1751" s="50"/>
      <c r="B1751" s="50"/>
      <c r="C1751" s="50"/>
      <c r="D1751" s="50"/>
      <c r="E1751" s="51" t="s">
        <v>50</v>
      </c>
      <c r="F1751" s="48">
        <f ca="1">SUM(Table3140[MONTO TOTAL ESTIMADO])</f>
        <v>346221</v>
      </c>
    </row>
    <row r="1752" spans="1:6" ht="17.25" thickBot="1">
      <c r="A1752" s="36"/>
      <c r="B1752" s="36"/>
      <c r="C1752" s="36"/>
      <c r="D1752" s="36"/>
      <c r="E1752" s="36"/>
      <c r="F1752" s="36"/>
    </row>
    <row r="1753" spans="1:6" ht="34.5" thickBot="1">
      <c r="A1753" s="1" t="s">
        <v>0</v>
      </c>
      <c r="B1753" s="1" t="s">
        <v>1</v>
      </c>
      <c r="C1753" s="1" t="s">
        <v>2</v>
      </c>
      <c r="D1753" s="1" t="s">
        <v>3</v>
      </c>
      <c r="E1753" s="1" t="s">
        <v>4</v>
      </c>
      <c r="F1753" s="1" t="s">
        <v>5</v>
      </c>
    </row>
    <row r="1754" spans="1:6" ht="15.75" thickBot="1">
      <c r="A1754" s="2" t="s">
        <v>193</v>
      </c>
      <c r="B1754" s="2" t="s">
        <v>320</v>
      </c>
      <c r="C1754" s="2" t="s">
        <v>40</v>
      </c>
      <c r="D1754" s="2" t="s">
        <v>62</v>
      </c>
      <c r="E1754" s="2" t="s">
        <v>42</v>
      </c>
      <c r="F1754" s="2"/>
    </row>
    <row r="1755" spans="1:6" ht="15.75" thickBot="1">
      <c r="A1755" s="3" t="s">
        <v>11</v>
      </c>
      <c r="B1755" s="4" t="s">
        <v>12</v>
      </c>
      <c r="C1755" s="5">
        <v>43132</v>
      </c>
      <c r="D1755" s="3" t="s">
        <v>13</v>
      </c>
      <c r="E1755" s="4" t="s">
        <v>14</v>
      </c>
      <c r="F1755" s="2"/>
    </row>
    <row r="1756" spans="1:6" ht="15.75" thickBot="1">
      <c r="A1756" s="6"/>
      <c r="B1756" s="4" t="s">
        <v>15</v>
      </c>
      <c r="C1756" s="7">
        <f>IF(C1755="","",IF(AND(MONTH(C1755)&gt;=1,MONTH(C1755)&lt;=3),1,IF(AND(MONTH(C1755)&gt;=4,MONTH(C1755)&lt;=6),2,IF(AND(MONTH(C1755)&gt;=7,MONTH(C1755)&lt;=9),3,4))))</f>
        <v>1</v>
      </c>
      <c r="D1756" s="6"/>
      <c r="E1756" s="4" t="s">
        <v>16</v>
      </c>
      <c r="F1756" s="2"/>
    </row>
    <row r="1757" spans="1:6" ht="15.75" thickBot="1">
      <c r="A1757" s="6"/>
      <c r="B1757" s="4" t="s">
        <v>17</v>
      </c>
      <c r="C1757" s="5">
        <v>43146</v>
      </c>
      <c r="D1757" s="6"/>
      <c r="E1757" s="4" t="s">
        <v>18</v>
      </c>
      <c r="F1757" s="2"/>
    </row>
    <row r="1758" spans="1:6" ht="15.75" thickBot="1">
      <c r="A1758" s="6"/>
      <c r="B1758" s="4" t="s">
        <v>15</v>
      </c>
      <c r="C1758" s="7">
        <f>IF(C1757="","",IF(AND(MONTH(C1757)&gt;=1,MONTH(C1757)&lt;=3),1,IF(AND(MONTH(C1757)&gt;=4,MONTH(C1757)&lt;=6),2,IF(AND(MONTH(C1757)&gt;=7,MONTH(C1757)&lt;=9),3,4))))</f>
        <v>1</v>
      </c>
      <c r="D1758" s="6"/>
      <c r="E1758" s="4" t="s">
        <v>19</v>
      </c>
      <c r="F1758" s="2"/>
    </row>
    <row r="1759" spans="1:6" ht="15.75" thickBot="1">
      <c r="A1759" s="50"/>
      <c r="B1759" s="50"/>
      <c r="C1759" s="50"/>
      <c r="D1759" s="50"/>
      <c r="E1759" s="50"/>
      <c r="F1759" s="50"/>
    </row>
    <row r="1760" spans="1:6" ht="15.75" thickBot="1">
      <c r="A1760" s="41" t="s">
        <v>43</v>
      </c>
      <c r="B1760" s="41" t="s">
        <v>44</v>
      </c>
      <c r="C1760" s="41" t="s">
        <v>45</v>
      </c>
      <c r="D1760" s="41" t="s">
        <v>46</v>
      </c>
      <c r="E1760" s="41" t="s">
        <v>47</v>
      </c>
      <c r="F1760" s="41" t="s">
        <v>48</v>
      </c>
    </row>
    <row r="1761" spans="1:6" ht="33.75">
      <c r="A1761" s="42">
        <v>44103103</v>
      </c>
      <c r="B1761" s="43" t="str">
        <f ca="1">IFERROR(INDEX(UNSPSCDes,MATCH(INDIRECT(ADDRESS(ROW(),COLUMN()-1,4)),UNSPSCCode,0)),"")</f>
        <v>Tóner para impresoras o fax</v>
      </c>
      <c r="C1761" s="42" t="s">
        <v>252</v>
      </c>
      <c r="D1761" s="42">
        <v>26</v>
      </c>
      <c r="E1761" s="45">
        <v>6153.8</v>
      </c>
      <c r="F1761" s="46">
        <f ca="1">INDIRECT(ADDRESS(ROW(),COLUMN()-2,4))*INDIRECT(ADDRESS(ROW(),COLUMN()-1,4))</f>
        <v>159998.80000000002</v>
      </c>
    </row>
    <row r="1762" spans="1:6">
      <c r="A1762" s="50"/>
      <c r="B1762" s="50"/>
      <c r="C1762" s="50"/>
      <c r="D1762" s="50"/>
      <c r="E1762" s="51" t="s">
        <v>50</v>
      </c>
      <c r="F1762" s="48">
        <f ca="1">SUM(Table3141[MONTO TOTAL ESTIMADO])</f>
        <v>159998.80000000002</v>
      </c>
    </row>
    <row r="1763" spans="1:6" ht="17.25" thickBot="1">
      <c r="A1763" s="36"/>
      <c r="B1763" s="36"/>
      <c r="C1763" s="36"/>
      <c r="D1763" s="36"/>
      <c r="E1763" s="36"/>
      <c r="F1763" s="36"/>
    </row>
    <row r="1764" spans="1:6" ht="34.5" thickBot="1">
      <c r="A1764" s="1" t="s">
        <v>0</v>
      </c>
      <c r="B1764" s="1" t="s">
        <v>1</v>
      </c>
      <c r="C1764" s="1" t="s">
        <v>2</v>
      </c>
      <c r="D1764" s="1" t="s">
        <v>3</v>
      </c>
      <c r="E1764" s="1" t="s">
        <v>4</v>
      </c>
      <c r="F1764" s="1" t="s">
        <v>5</v>
      </c>
    </row>
    <row r="1765" spans="1:6" ht="15.75" thickBot="1">
      <c r="A1765" s="2" t="s">
        <v>321</v>
      </c>
      <c r="B1765" s="2" t="s">
        <v>322</v>
      </c>
      <c r="C1765" s="2" t="s">
        <v>8</v>
      </c>
      <c r="D1765" s="2" t="s">
        <v>41</v>
      </c>
      <c r="E1765" s="2" t="s">
        <v>42</v>
      </c>
      <c r="F1765" s="2"/>
    </row>
    <row r="1766" spans="1:6" ht="15.75" thickBot="1">
      <c r="A1766" s="3" t="s">
        <v>11</v>
      </c>
      <c r="B1766" s="4" t="s">
        <v>12</v>
      </c>
      <c r="C1766" s="5">
        <v>43160</v>
      </c>
      <c r="D1766" s="3" t="s">
        <v>13</v>
      </c>
      <c r="E1766" s="4" t="s">
        <v>14</v>
      </c>
      <c r="F1766" s="2"/>
    </row>
    <row r="1767" spans="1:6" ht="15.75" thickBot="1">
      <c r="A1767" s="6"/>
      <c r="B1767" s="4" t="s">
        <v>15</v>
      </c>
      <c r="C1767" s="7">
        <f>IF(C1766="","",IF(AND(MONTH(C1766)&gt;=1,MONTH(C1766)&lt;=3),1,IF(AND(MONTH(C1766)&gt;=4,MONTH(C1766)&lt;=6),2,IF(AND(MONTH(C1766)&gt;=7,MONTH(C1766)&lt;=9),3,4))))</f>
        <v>1</v>
      </c>
      <c r="D1767" s="6"/>
      <c r="E1767" s="4" t="s">
        <v>16</v>
      </c>
      <c r="F1767" s="2"/>
    </row>
    <row r="1768" spans="1:6" ht="15.75" thickBot="1">
      <c r="A1768" s="6"/>
      <c r="B1768" s="4" t="s">
        <v>17</v>
      </c>
      <c r="C1768" s="5">
        <v>43173</v>
      </c>
      <c r="D1768" s="6"/>
      <c r="E1768" s="4" t="s">
        <v>18</v>
      </c>
      <c r="F1768" s="2"/>
    </row>
    <row r="1769" spans="1:6" ht="15.75" thickBot="1">
      <c r="A1769" s="6"/>
      <c r="B1769" s="4" t="s">
        <v>15</v>
      </c>
      <c r="C1769" s="7">
        <f>IF(C1768="","",IF(AND(MONTH(C1768)&gt;=1,MONTH(C1768)&lt;=3),1,IF(AND(MONTH(C1768)&gt;=4,MONTH(C1768)&lt;=6),2,IF(AND(MONTH(C1768)&gt;=7,MONTH(C1768)&lt;=9),3,4))))</f>
        <v>1</v>
      </c>
      <c r="D1769" s="6"/>
      <c r="E1769" s="4" t="s">
        <v>19</v>
      </c>
      <c r="F1769" s="2"/>
    </row>
    <row r="1770" spans="1:6" ht="15.75" thickBot="1">
      <c r="A1770" s="50"/>
      <c r="B1770" s="50"/>
      <c r="C1770" s="50"/>
      <c r="D1770" s="50"/>
      <c r="E1770" s="50"/>
      <c r="F1770" s="50"/>
    </row>
    <row r="1771" spans="1:6" ht="15.75" thickBot="1">
      <c r="A1771" s="41" t="s">
        <v>43</v>
      </c>
      <c r="B1771" s="41" t="s">
        <v>44</v>
      </c>
      <c r="C1771" s="41" t="s">
        <v>45</v>
      </c>
      <c r="D1771" s="41" t="s">
        <v>46</v>
      </c>
      <c r="E1771" s="41" t="s">
        <v>47</v>
      </c>
      <c r="F1771" s="41" t="s">
        <v>48</v>
      </c>
    </row>
    <row r="1772" spans="1:6" ht="33.75">
      <c r="A1772" s="42">
        <v>86141501</v>
      </c>
      <c r="B1772" s="43" t="str">
        <f ca="1">IFERROR(INDEX(UNSPSCDes,MATCH(INDIRECT(ADDRESS(ROW(),COLUMN()-1,4)),UNSPSCCode,0)),"")</f>
        <v>Servicios de asesorías educativas</v>
      </c>
      <c r="C1772" s="42" t="s">
        <v>252</v>
      </c>
      <c r="D1772" s="42">
        <v>1</v>
      </c>
      <c r="E1772" s="45">
        <v>1200000</v>
      </c>
      <c r="F1772" s="46">
        <f ca="1">INDIRECT(ADDRESS(ROW(),COLUMN()-2,4))*INDIRECT(ADDRESS(ROW(),COLUMN()-1,4))</f>
        <v>1200000</v>
      </c>
    </row>
    <row r="1773" spans="1:6">
      <c r="A1773" s="50"/>
      <c r="B1773" s="50"/>
      <c r="C1773" s="50"/>
      <c r="D1773" s="50"/>
      <c r="E1773" s="51" t="s">
        <v>50</v>
      </c>
      <c r="F1773" s="48">
        <f ca="1">SUM(Table3142[MONTO TOTAL ESTIMADO])</f>
        <v>1200000</v>
      </c>
    </row>
    <row r="1774" spans="1:6" ht="17.25" thickBot="1">
      <c r="A1774" s="36"/>
      <c r="B1774" s="36"/>
      <c r="C1774" s="36"/>
      <c r="D1774" s="36"/>
      <c r="E1774" s="36"/>
      <c r="F1774" s="36"/>
    </row>
    <row r="1775" spans="1:6" ht="34.5" thickBot="1">
      <c r="A1775" s="1" t="s">
        <v>0</v>
      </c>
      <c r="B1775" s="1" t="s">
        <v>1</v>
      </c>
      <c r="C1775" s="1" t="s">
        <v>2</v>
      </c>
      <c r="D1775" s="1" t="s">
        <v>3</v>
      </c>
      <c r="E1775" s="1" t="s">
        <v>4</v>
      </c>
      <c r="F1775" s="1" t="s">
        <v>5</v>
      </c>
    </row>
    <row r="1776" spans="1:6" ht="15.75" thickBot="1">
      <c r="A1776" s="2" t="s">
        <v>6</v>
      </c>
      <c r="B1776" s="2" t="s">
        <v>323</v>
      </c>
      <c r="C1776" s="2" t="s">
        <v>8</v>
      </c>
      <c r="D1776" s="2" t="s">
        <v>9</v>
      </c>
      <c r="E1776" s="2" t="s">
        <v>10</v>
      </c>
      <c r="F1776" s="2"/>
    </row>
    <row r="1777" spans="1:6" ht="15.75" thickBot="1">
      <c r="A1777" s="3" t="s">
        <v>11</v>
      </c>
      <c r="B1777" s="4" t="s">
        <v>12</v>
      </c>
      <c r="C1777" s="5">
        <v>43435</v>
      </c>
      <c r="D1777" s="3" t="s">
        <v>13</v>
      </c>
      <c r="E1777" s="4" t="s">
        <v>14</v>
      </c>
      <c r="F1777" s="2"/>
    </row>
    <row r="1778" spans="1:6" ht="15.75" thickBot="1">
      <c r="A1778" s="6"/>
      <c r="B1778" s="4" t="s">
        <v>15</v>
      </c>
      <c r="C1778" s="7">
        <f>IF(C1777="","",IF(AND(MONTH(C1777)&gt;=1,MONTH(C1777)&lt;=3),1,IF(AND(MONTH(C1777)&gt;=4,MONTH(C1777)&lt;=6),2,IF(AND(MONTH(C1777)&gt;=7,MONTH(C1777)&lt;=9),3,4))))</f>
        <v>4</v>
      </c>
      <c r="D1778" s="6"/>
      <c r="E1778" s="4" t="s">
        <v>16</v>
      </c>
      <c r="F1778" s="2"/>
    </row>
    <row r="1779" spans="1:6" ht="15.75" thickBot="1">
      <c r="A1779" s="6"/>
      <c r="B1779" s="4" t="s">
        <v>17</v>
      </c>
      <c r="C1779" s="5">
        <v>43456</v>
      </c>
      <c r="D1779" s="6"/>
      <c r="E1779" s="4" t="s">
        <v>18</v>
      </c>
      <c r="F1779" s="2"/>
    </row>
    <row r="1780" spans="1:6" ht="15.75" thickBot="1">
      <c r="A1780" s="6"/>
      <c r="B1780" s="4" t="s">
        <v>15</v>
      </c>
      <c r="C1780" s="7">
        <f>IF(C1779="","",IF(AND(MONTH(C1779)&gt;=1,MONTH(C1779)&lt;=3),1,IF(AND(MONTH(C1779)&gt;=4,MONTH(C1779)&lt;=6),2,IF(AND(MONTH(C1779)&gt;=7,MONTH(C1779)&lt;=9),3,4))))</f>
        <v>4</v>
      </c>
      <c r="D1780" s="6"/>
      <c r="E1780" s="4" t="s">
        <v>19</v>
      </c>
      <c r="F1780" s="2"/>
    </row>
    <row r="1781" spans="1:6" ht="15.75" thickBot="1">
      <c r="A1781" s="50"/>
      <c r="B1781" s="50"/>
      <c r="C1781" s="50"/>
      <c r="D1781" s="50"/>
      <c r="E1781" s="50"/>
      <c r="F1781" s="50"/>
    </row>
    <row r="1782" spans="1:6" ht="15.75" thickBot="1">
      <c r="A1782" s="41" t="s">
        <v>43</v>
      </c>
      <c r="B1782" s="41" t="s">
        <v>44</v>
      </c>
      <c r="C1782" s="41" t="s">
        <v>45</v>
      </c>
      <c r="D1782" s="41" t="s">
        <v>46</v>
      </c>
      <c r="E1782" s="41" t="s">
        <v>47</v>
      </c>
      <c r="F1782" s="41" t="s">
        <v>48</v>
      </c>
    </row>
    <row r="1783" spans="1:6" ht="22.5">
      <c r="A1783" s="52">
        <v>82101602</v>
      </c>
      <c r="B1783" s="43" t="str">
        <f ca="1">IFERROR(INDEX(UNSPSCDes,MATCH(INDIRECT(ADDRESS(ROW(),COLUMN()-1,4)),UNSPSCCode,0)),"")</f>
        <v>Publicidad en televisión</v>
      </c>
      <c r="C1783" s="42" t="s">
        <v>252</v>
      </c>
      <c r="D1783" s="42">
        <v>8</v>
      </c>
      <c r="E1783" s="45">
        <v>8260</v>
      </c>
      <c r="F1783" s="46">
        <f ca="1">INDIRECT(ADDRESS(ROW(),COLUMN()-2,4))*INDIRECT(ADDRESS(ROW(),COLUMN()-1,4))</f>
        <v>66080</v>
      </c>
    </row>
    <row r="1784" spans="1:6">
      <c r="A1784" s="50"/>
      <c r="B1784" s="50"/>
      <c r="C1784" s="50"/>
      <c r="D1784" s="50"/>
      <c r="E1784" s="51" t="s">
        <v>50</v>
      </c>
      <c r="F1784" s="48">
        <f ca="1">SUM(Table3143[MONTO TOTAL ESTIMADO])</f>
        <v>66080</v>
      </c>
    </row>
    <row r="1785" spans="1:6" ht="17.25" thickBot="1">
      <c r="A1785" s="36"/>
      <c r="B1785" s="36"/>
      <c r="C1785" s="36"/>
      <c r="D1785" s="36"/>
      <c r="E1785" s="36"/>
      <c r="F1785" s="36"/>
    </row>
    <row r="1786" spans="1:6" ht="34.5" thickBot="1">
      <c r="A1786" s="1" t="s">
        <v>0</v>
      </c>
      <c r="B1786" s="1" t="s">
        <v>1</v>
      </c>
      <c r="C1786" s="1" t="s">
        <v>2</v>
      </c>
      <c r="D1786" s="1" t="s">
        <v>3</v>
      </c>
      <c r="E1786" s="1" t="s">
        <v>4</v>
      </c>
      <c r="F1786" s="1" t="s">
        <v>5</v>
      </c>
    </row>
    <row r="1787" spans="1:6" ht="15.75" thickBot="1">
      <c r="A1787" s="2" t="s">
        <v>6</v>
      </c>
      <c r="B1787" s="2" t="s">
        <v>324</v>
      </c>
      <c r="C1787" s="2" t="s">
        <v>8</v>
      </c>
      <c r="D1787" s="2" t="s">
        <v>9</v>
      </c>
      <c r="E1787" s="2" t="s">
        <v>10</v>
      </c>
      <c r="F1787" s="2"/>
    </row>
    <row r="1788" spans="1:6" ht="15.75" thickBot="1">
      <c r="A1788" s="3" t="s">
        <v>11</v>
      </c>
      <c r="B1788" s="4" t="s">
        <v>12</v>
      </c>
      <c r="C1788" s="5">
        <v>43435</v>
      </c>
      <c r="D1788" s="3" t="s">
        <v>13</v>
      </c>
      <c r="E1788" s="4" t="s">
        <v>14</v>
      </c>
      <c r="F1788" s="2"/>
    </row>
    <row r="1789" spans="1:6" ht="15.75" thickBot="1">
      <c r="A1789" s="6"/>
      <c r="B1789" s="4" t="s">
        <v>15</v>
      </c>
      <c r="C1789" s="7">
        <f>IF(C1788="","",IF(AND(MONTH(C1788)&gt;=1,MONTH(C1788)&lt;=3),1,IF(AND(MONTH(C1788)&gt;=4,MONTH(C1788)&lt;=6),2,IF(AND(MONTH(C1788)&gt;=7,MONTH(C1788)&lt;=9),3,4))))</f>
        <v>4</v>
      </c>
      <c r="D1789" s="6"/>
      <c r="E1789" s="4" t="s">
        <v>16</v>
      </c>
      <c r="F1789" s="2"/>
    </row>
    <row r="1790" spans="1:6" ht="15.75" thickBot="1">
      <c r="A1790" s="6"/>
      <c r="B1790" s="4" t="s">
        <v>17</v>
      </c>
      <c r="C1790" s="5">
        <v>43456</v>
      </c>
      <c r="D1790" s="6"/>
      <c r="E1790" s="4" t="s">
        <v>18</v>
      </c>
      <c r="F1790" s="2"/>
    </row>
    <row r="1791" spans="1:6" ht="15.75" thickBot="1">
      <c r="A1791" s="6"/>
      <c r="B1791" s="4" t="s">
        <v>15</v>
      </c>
      <c r="C1791" s="7">
        <f>IF(C1790="","",IF(AND(MONTH(C1790)&gt;=1,MONTH(C1790)&lt;=3),1,IF(AND(MONTH(C1790)&gt;=4,MONTH(C1790)&lt;=6),2,IF(AND(MONTH(C1790)&gt;=7,MONTH(C1790)&lt;=9),3,4))))</f>
        <v>4</v>
      </c>
      <c r="D1791" s="6"/>
      <c r="E1791" s="4" t="s">
        <v>19</v>
      </c>
      <c r="F1791" s="2"/>
    </row>
    <row r="1792" spans="1:6" ht="15.75" thickBot="1">
      <c r="A1792" s="50"/>
      <c r="B1792" s="50"/>
      <c r="C1792" s="50"/>
      <c r="D1792" s="50"/>
      <c r="E1792" s="50"/>
      <c r="F1792" s="50"/>
    </row>
    <row r="1793" spans="1:6" ht="15.75" thickBot="1">
      <c r="A1793" s="41" t="s">
        <v>43</v>
      </c>
      <c r="B1793" s="41" t="s">
        <v>44</v>
      </c>
      <c r="C1793" s="41" t="s">
        <v>45</v>
      </c>
      <c r="D1793" s="41" t="s">
        <v>46</v>
      </c>
      <c r="E1793" s="41" t="s">
        <v>47</v>
      </c>
      <c r="F1793" s="41" t="s">
        <v>48</v>
      </c>
    </row>
    <row r="1794" spans="1:6" ht="22.5">
      <c r="A1794" s="52">
        <v>82101602</v>
      </c>
      <c r="B1794" s="43" t="str">
        <f ca="1">IFERROR(INDEX(UNSPSCDes,MATCH(INDIRECT(ADDRESS(ROW(),COLUMN()-1,4)),UNSPSCCode,0)),"")</f>
        <v>Publicidad en televisión</v>
      </c>
      <c r="C1794" s="42" t="s">
        <v>252</v>
      </c>
      <c r="D1794" s="42">
        <v>44</v>
      </c>
      <c r="E1794" s="45">
        <v>21240</v>
      </c>
      <c r="F1794" s="46">
        <f ca="1">INDIRECT(ADDRESS(ROW(),COLUMN()-2,4))*INDIRECT(ADDRESS(ROW(),COLUMN()-1,4))</f>
        <v>934560</v>
      </c>
    </row>
    <row r="1795" spans="1:6">
      <c r="A1795" s="50"/>
      <c r="B1795" s="50"/>
      <c r="C1795" s="50"/>
      <c r="D1795" s="50"/>
      <c r="E1795" s="51" t="s">
        <v>50</v>
      </c>
      <c r="F1795" s="48">
        <f ca="1">SUM(Table3144[MONTO TOTAL ESTIMADO])</f>
        <v>934560</v>
      </c>
    </row>
    <row r="1796" spans="1:6" ht="17.25" thickBot="1">
      <c r="A1796" s="36"/>
      <c r="B1796" s="36"/>
      <c r="C1796" s="36"/>
      <c r="D1796" s="36"/>
      <c r="E1796" s="36"/>
      <c r="F1796" s="36"/>
    </row>
    <row r="1797" spans="1:6" ht="34.5" thickBot="1">
      <c r="A1797" s="1" t="s">
        <v>0</v>
      </c>
      <c r="B1797" s="1" t="s">
        <v>1</v>
      </c>
      <c r="C1797" s="1" t="s">
        <v>2</v>
      </c>
      <c r="D1797" s="1" t="s">
        <v>3</v>
      </c>
      <c r="E1797" s="1" t="s">
        <v>4</v>
      </c>
      <c r="F1797" s="1" t="s">
        <v>5</v>
      </c>
    </row>
    <row r="1798" spans="1:6" ht="15.75" thickBot="1">
      <c r="A1798" s="2" t="s">
        <v>6</v>
      </c>
      <c r="B1798" s="2" t="s">
        <v>325</v>
      </c>
      <c r="C1798" s="2" t="s">
        <v>8</v>
      </c>
      <c r="D1798" s="2" t="s">
        <v>9</v>
      </c>
      <c r="E1798" s="2" t="s">
        <v>10</v>
      </c>
      <c r="F1798" s="2"/>
    </row>
    <row r="1799" spans="1:6" ht="15.75" thickBot="1">
      <c r="A1799" s="3" t="s">
        <v>11</v>
      </c>
      <c r="B1799" s="4" t="s">
        <v>12</v>
      </c>
      <c r="C1799" s="5">
        <v>43435</v>
      </c>
      <c r="D1799" s="3" t="s">
        <v>13</v>
      </c>
      <c r="E1799" s="4" t="s">
        <v>14</v>
      </c>
      <c r="F1799" s="2"/>
    </row>
    <row r="1800" spans="1:6" ht="15.75" thickBot="1">
      <c r="A1800" s="6"/>
      <c r="B1800" s="4" t="s">
        <v>15</v>
      </c>
      <c r="C1800" s="7">
        <f>IF(C1799="","",IF(AND(MONTH(C1799)&gt;=1,MONTH(C1799)&lt;=3),1,IF(AND(MONTH(C1799)&gt;=4,MONTH(C1799)&lt;=6),2,IF(AND(MONTH(C1799)&gt;=7,MONTH(C1799)&lt;=9),3,4))))</f>
        <v>4</v>
      </c>
      <c r="D1800" s="6"/>
      <c r="E1800" s="4" t="s">
        <v>16</v>
      </c>
      <c r="F1800" s="2"/>
    </row>
    <row r="1801" spans="1:6" ht="15.75" thickBot="1">
      <c r="A1801" s="6"/>
      <c r="B1801" s="4" t="s">
        <v>17</v>
      </c>
      <c r="C1801" s="5">
        <v>43456</v>
      </c>
      <c r="D1801" s="6"/>
      <c r="E1801" s="4" t="s">
        <v>18</v>
      </c>
      <c r="F1801" s="2"/>
    </row>
    <row r="1802" spans="1:6" ht="15.75" thickBot="1">
      <c r="A1802" s="6"/>
      <c r="B1802" s="4" t="s">
        <v>15</v>
      </c>
      <c r="C1802" s="7">
        <f>IF(C1801="","",IF(AND(MONTH(C1801)&gt;=1,MONTH(C1801)&lt;=3),1,IF(AND(MONTH(C1801)&gt;=4,MONTH(C1801)&lt;=6),2,IF(AND(MONTH(C1801)&gt;=7,MONTH(C1801)&lt;=9),3,4))))</f>
        <v>4</v>
      </c>
      <c r="D1802" s="6"/>
      <c r="E1802" s="4" t="s">
        <v>19</v>
      </c>
      <c r="F1802" s="2"/>
    </row>
    <row r="1803" spans="1:6" ht="15.75" thickBot="1">
      <c r="A1803" s="50"/>
      <c r="B1803" s="50"/>
      <c r="C1803" s="50"/>
      <c r="D1803" s="50"/>
      <c r="E1803" s="50"/>
      <c r="F1803" s="50"/>
    </row>
    <row r="1804" spans="1:6" ht="15.75" thickBot="1">
      <c r="A1804" s="41" t="s">
        <v>43</v>
      </c>
      <c r="B1804" s="41" t="s">
        <v>44</v>
      </c>
      <c r="C1804" s="41" t="s">
        <v>45</v>
      </c>
      <c r="D1804" s="41" t="s">
        <v>46</v>
      </c>
      <c r="E1804" s="41" t="s">
        <v>47</v>
      </c>
      <c r="F1804" s="41" t="s">
        <v>48</v>
      </c>
    </row>
    <row r="1805" spans="1:6" ht="22.5">
      <c r="A1805" s="52">
        <v>82101602</v>
      </c>
      <c r="B1805" s="43" t="str">
        <f ca="1">IFERROR(INDEX(UNSPSCDes,MATCH(INDIRECT(ADDRESS(ROW(),COLUMN()-1,4)),UNSPSCCode,0)),"")</f>
        <v>Publicidad en televisión</v>
      </c>
      <c r="C1805" s="42" t="s">
        <v>252</v>
      </c>
      <c r="D1805" s="42">
        <v>44</v>
      </c>
      <c r="E1805" s="45">
        <v>21240</v>
      </c>
      <c r="F1805" s="46">
        <f ca="1">INDIRECT(ADDRESS(ROW(),COLUMN()-2,4))*INDIRECT(ADDRESS(ROW(),COLUMN()-1,4))</f>
        <v>934560</v>
      </c>
    </row>
    <row r="1806" spans="1:6">
      <c r="A1806" s="50"/>
      <c r="B1806" s="50"/>
      <c r="C1806" s="50"/>
      <c r="D1806" s="50"/>
      <c r="E1806" s="51" t="s">
        <v>50</v>
      </c>
      <c r="F1806" s="48">
        <f ca="1">SUM(Table3145[MONTO TOTAL ESTIMADO])</f>
        <v>934560</v>
      </c>
    </row>
    <row r="1807" spans="1:6" ht="17.25" thickBot="1">
      <c r="A1807" s="36"/>
      <c r="B1807" s="36"/>
      <c r="C1807" s="36"/>
      <c r="D1807" s="36"/>
      <c r="E1807" s="36"/>
      <c r="F1807" s="36"/>
    </row>
    <row r="1808" spans="1:6" ht="34.5" thickBot="1">
      <c r="A1808" s="1" t="s">
        <v>0</v>
      </c>
      <c r="B1808" s="1" t="s">
        <v>1</v>
      </c>
      <c r="C1808" s="1" t="s">
        <v>2</v>
      </c>
      <c r="D1808" s="1" t="s">
        <v>3</v>
      </c>
      <c r="E1808" s="1" t="s">
        <v>4</v>
      </c>
      <c r="F1808" s="1" t="s">
        <v>5</v>
      </c>
    </row>
    <row r="1809" spans="1:6" ht="15.75" thickBot="1">
      <c r="A1809" s="2" t="s">
        <v>6</v>
      </c>
      <c r="B1809" s="2" t="s">
        <v>326</v>
      </c>
      <c r="C1809" s="2" t="s">
        <v>8</v>
      </c>
      <c r="D1809" s="2" t="s">
        <v>9</v>
      </c>
      <c r="E1809" s="2" t="s">
        <v>10</v>
      </c>
      <c r="F1809" s="2"/>
    </row>
    <row r="1810" spans="1:6" ht="15.75" thickBot="1">
      <c r="A1810" s="3" t="s">
        <v>11</v>
      </c>
      <c r="B1810" s="4" t="s">
        <v>12</v>
      </c>
      <c r="C1810" s="5">
        <v>43435</v>
      </c>
      <c r="D1810" s="3" t="s">
        <v>13</v>
      </c>
      <c r="E1810" s="4" t="s">
        <v>14</v>
      </c>
      <c r="F1810" s="2"/>
    </row>
    <row r="1811" spans="1:6" ht="15.75" thickBot="1">
      <c r="A1811" s="6"/>
      <c r="B1811" s="4" t="s">
        <v>15</v>
      </c>
      <c r="C1811" s="7">
        <f>IF(C1810="","",IF(AND(MONTH(C1810)&gt;=1,MONTH(C1810)&lt;=3),1,IF(AND(MONTH(C1810)&gt;=4,MONTH(C1810)&lt;=6),2,IF(AND(MONTH(C1810)&gt;=7,MONTH(C1810)&lt;=9),3,4))))</f>
        <v>4</v>
      </c>
      <c r="D1811" s="6"/>
      <c r="E1811" s="4" t="s">
        <v>16</v>
      </c>
      <c r="F1811" s="2"/>
    </row>
    <row r="1812" spans="1:6" ht="15.75" thickBot="1">
      <c r="A1812" s="6"/>
      <c r="B1812" s="4" t="s">
        <v>17</v>
      </c>
      <c r="C1812" s="5">
        <v>43456</v>
      </c>
      <c r="D1812" s="6"/>
      <c r="E1812" s="4" t="s">
        <v>18</v>
      </c>
      <c r="F1812" s="2"/>
    </row>
    <row r="1813" spans="1:6" ht="15.75" thickBot="1">
      <c r="A1813" s="6"/>
      <c r="B1813" s="4" t="s">
        <v>15</v>
      </c>
      <c r="C1813" s="7">
        <f>IF(C1812="","",IF(AND(MONTH(C1812)&gt;=1,MONTH(C1812)&lt;=3),1,IF(AND(MONTH(C1812)&gt;=4,MONTH(C1812)&lt;=6),2,IF(AND(MONTH(C1812)&gt;=7,MONTH(C1812)&lt;=9),3,4))))</f>
        <v>4</v>
      </c>
      <c r="D1813" s="6"/>
      <c r="E1813" s="4" t="s">
        <v>19</v>
      </c>
      <c r="F1813" s="2"/>
    </row>
    <row r="1814" spans="1:6" ht="15.75" thickBot="1">
      <c r="A1814" s="50"/>
      <c r="B1814" s="50"/>
      <c r="C1814" s="50"/>
      <c r="D1814" s="50"/>
      <c r="E1814" s="50"/>
      <c r="F1814" s="50"/>
    </row>
    <row r="1815" spans="1:6" ht="15.75" thickBot="1">
      <c r="A1815" s="41" t="s">
        <v>43</v>
      </c>
      <c r="B1815" s="41" t="s">
        <v>44</v>
      </c>
      <c r="C1815" s="41" t="s">
        <v>45</v>
      </c>
      <c r="D1815" s="41" t="s">
        <v>46</v>
      </c>
      <c r="E1815" s="41" t="s">
        <v>47</v>
      </c>
      <c r="F1815" s="41" t="s">
        <v>48</v>
      </c>
    </row>
    <row r="1816" spans="1:6" ht="22.5">
      <c r="A1816" s="52">
        <v>82101602</v>
      </c>
      <c r="B1816" s="43" t="str">
        <f ca="1">IFERROR(INDEX(UNSPSCDes,MATCH(INDIRECT(ADDRESS(ROW(),COLUMN()-1,4)),UNSPSCCode,0)),"")</f>
        <v>Publicidad en televisión</v>
      </c>
      <c r="C1816" s="42" t="s">
        <v>252</v>
      </c>
      <c r="D1816" s="42">
        <v>44</v>
      </c>
      <c r="E1816" s="45">
        <v>9440</v>
      </c>
      <c r="F1816" s="46">
        <f ca="1">INDIRECT(ADDRESS(ROW(),COLUMN()-2,4))*INDIRECT(ADDRESS(ROW(),COLUMN()-1,4))</f>
        <v>415360</v>
      </c>
    </row>
    <row r="1817" spans="1:6">
      <c r="A1817" s="50"/>
      <c r="B1817" s="50"/>
      <c r="C1817" s="50"/>
      <c r="D1817" s="50"/>
      <c r="E1817" s="51" t="s">
        <v>50</v>
      </c>
      <c r="F1817" s="48">
        <f ca="1">SUM(Table3146[MONTO TOTAL ESTIMADO])</f>
        <v>415360</v>
      </c>
    </row>
    <row r="1818" spans="1:6" ht="17.25" thickBot="1">
      <c r="A1818" s="36"/>
      <c r="B1818" s="36"/>
      <c r="C1818" s="36"/>
      <c r="D1818" s="36"/>
      <c r="E1818" s="36"/>
      <c r="F1818" s="36"/>
    </row>
    <row r="1819" spans="1:6" ht="34.5" thickBot="1">
      <c r="A1819" s="1" t="s">
        <v>0</v>
      </c>
      <c r="B1819" s="1" t="s">
        <v>1</v>
      </c>
      <c r="C1819" s="1" t="s">
        <v>2</v>
      </c>
      <c r="D1819" s="1" t="s">
        <v>3</v>
      </c>
      <c r="E1819" s="1" t="s">
        <v>4</v>
      </c>
      <c r="F1819" s="1" t="s">
        <v>5</v>
      </c>
    </row>
    <row r="1820" spans="1:6" ht="15.75" thickBot="1">
      <c r="A1820" s="2" t="s">
        <v>6</v>
      </c>
      <c r="B1820" s="2" t="s">
        <v>327</v>
      </c>
      <c r="C1820" s="2" t="s">
        <v>8</v>
      </c>
      <c r="D1820" s="2" t="s">
        <v>9</v>
      </c>
      <c r="E1820" s="2" t="s">
        <v>10</v>
      </c>
      <c r="F1820" s="2"/>
    </row>
    <row r="1821" spans="1:6" ht="15.75" thickBot="1">
      <c r="A1821" s="3" t="s">
        <v>11</v>
      </c>
      <c r="B1821" s="4" t="s">
        <v>12</v>
      </c>
      <c r="C1821" s="5">
        <v>43435</v>
      </c>
      <c r="D1821" s="3" t="s">
        <v>13</v>
      </c>
      <c r="E1821" s="4" t="s">
        <v>14</v>
      </c>
      <c r="F1821" s="2"/>
    </row>
    <row r="1822" spans="1:6" ht="15.75" thickBot="1">
      <c r="A1822" s="6"/>
      <c r="B1822" s="4" t="s">
        <v>15</v>
      </c>
      <c r="C1822" s="7">
        <f>IF(C1821="","",IF(AND(MONTH(C1821)&gt;=1,MONTH(C1821)&lt;=3),1,IF(AND(MONTH(C1821)&gt;=4,MONTH(C1821)&lt;=6),2,IF(AND(MONTH(C1821)&gt;=7,MONTH(C1821)&lt;=9),3,4))))</f>
        <v>4</v>
      </c>
      <c r="D1822" s="6"/>
      <c r="E1822" s="4" t="s">
        <v>16</v>
      </c>
      <c r="F1822" s="2"/>
    </row>
    <row r="1823" spans="1:6" ht="15.75" thickBot="1">
      <c r="A1823" s="6"/>
      <c r="B1823" s="4" t="s">
        <v>17</v>
      </c>
      <c r="C1823" s="5">
        <v>43456</v>
      </c>
      <c r="D1823" s="6"/>
      <c r="E1823" s="4" t="s">
        <v>18</v>
      </c>
      <c r="F1823" s="2"/>
    </row>
    <row r="1824" spans="1:6" ht="15.75" thickBot="1">
      <c r="A1824" s="6"/>
      <c r="B1824" s="4" t="s">
        <v>15</v>
      </c>
      <c r="C1824" s="7">
        <f>IF(C1823="","",IF(AND(MONTH(C1823)&gt;=1,MONTH(C1823)&lt;=3),1,IF(AND(MONTH(C1823)&gt;=4,MONTH(C1823)&lt;=6),2,IF(AND(MONTH(C1823)&gt;=7,MONTH(C1823)&lt;=9),3,4))))</f>
        <v>4</v>
      </c>
      <c r="D1824" s="6"/>
      <c r="E1824" s="4" t="s">
        <v>19</v>
      </c>
      <c r="F1824" s="2"/>
    </row>
    <row r="1825" spans="1:6" ht="15.75" thickBot="1">
      <c r="A1825" s="50"/>
      <c r="B1825" s="50"/>
      <c r="C1825" s="50"/>
      <c r="D1825" s="50"/>
      <c r="E1825" s="50"/>
      <c r="F1825" s="50"/>
    </row>
    <row r="1826" spans="1:6" ht="15.75" thickBot="1">
      <c r="A1826" s="41" t="s">
        <v>43</v>
      </c>
      <c r="B1826" s="41" t="s">
        <v>44</v>
      </c>
      <c r="C1826" s="41" t="s">
        <v>45</v>
      </c>
      <c r="D1826" s="41" t="s">
        <v>46</v>
      </c>
      <c r="E1826" s="41" t="s">
        <v>47</v>
      </c>
      <c r="F1826" s="41" t="s">
        <v>48</v>
      </c>
    </row>
    <row r="1827" spans="1:6" ht="22.5">
      <c r="A1827" s="52">
        <v>82101602</v>
      </c>
      <c r="B1827" s="43" t="str">
        <f ca="1">IFERROR(INDEX(UNSPSCDes,MATCH(INDIRECT(ADDRESS(ROW(),COLUMN()-1,4)),UNSPSCCode,0)),"")</f>
        <v>Publicidad en televisión</v>
      </c>
      <c r="C1827" s="42" t="s">
        <v>252</v>
      </c>
      <c r="D1827" s="42">
        <v>8</v>
      </c>
      <c r="E1827" s="45">
        <v>9440</v>
      </c>
      <c r="F1827" s="46">
        <f ca="1">INDIRECT(ADDRESS(ROW(),COLUMN()-2,4))*INDIRECT(ADDRESS(ROW(),COLUMN()-1,4))</f>
        <v>75520</v>
      </c>
    </row>
    <row r="1828" spans="1:6">
      <c r="A1828" s="50"/>
      <c r="B1828" s="50"/>
      <c r="C1828" s="50"/>
      <c r="D1828" s="50"/>
      <c r="E1828" s="51" t="s">
        <v>50</v>
      </c>
      <c r="F1828" s="48">
        <f ca="1">SUM(Table3147[MONTO TOTAL ESTIMADO])</f>
        <v>75520</v>
      </c>
    </row>
    <row r="1829" spans="1:6" ht="17.25" thickBot="1">
      <c r="A1829" s="36"/>
      <c r="B1829" s="36"/>
      <c r="C1829" s="36"/>
      <c r="D1829" s="36"/>
      <c r="E1829" s="36"/>
      <c r="F1829" s="36"/>
    </row>
    <row r="1830" spans="1:6" ht="34.5" thickBot="1">
      <c r="A1830" s="1" t="s">
        <v>0</v>
      </c>
      <c r="B1830" s="1" t="s">
        <v>1</v>
      </c>
      <c r="C1830" s="1" t="s">
        <v>2</v>
      </c>
      <c r="D1830" s="1" t="s">
        <v>3</v>
      </c>
      <c r="E1830" s="1" t="s">
        <v>4</v>
      </c>
      <c r="F1830" s="1" t="s">
        <v>5</v>
      </c>
    </row>
    <row r="1831" spans="1:6" ht="15.75" thickBot="1">
      <c r="A1831" s="2" t="s">
        <v>6</v>
      </c>
      <c r="B1831" s="2" t="s">
        <v>328</v>
      </c>
      <c r="C1831" s="2" t="s">
        <v>8</v>
      </c>
      <c r="D1831" s="2" t="s">
        <v>9</v>
      </c>
      <c r="E1831" s="2" t="s">
        <v>10</v>
      </c>
      <c r="F1831" s="2"/>
    </row>
    <row r="1832" spans="1:6" ht="15.75" thickBot="1">
      <c r="A1832" s="3" t="s">
        <v>11</v>
      </c>
      <c r="B1832" s="4" t="s">
        <v>12</v>
      </c>
      <c r="C1832" s="5">
        <v>43435</v>
      </c>
      <c r="D1832" s="3" t="s">
        <v>13</v>
      </c>
      <c r="E1832" s="4" t="s">
        <v>14</v>
      </c>
      <c r="F1832" s="2"/>
    </row>
    <row r="1833" spans="1:6" ht="15.75" thickBot="1">
      <c r="A1833" s="6"/>
      <c r="B1833" s="4" t="s">
        <v>15</v>
      </c>
      <c r="C1833" s="7">
        <f>IF(C1832="","",IF(AND(MONTH(C1832)&gt;=1,MONTH(C1832)&lt;=3),1,IF(AND(MONTH(C1832)&gt;=4,MONTH(C1832)&lt;=6),2,IF(AND(MONTH(C1832)&gt;=7,MONTH(C1832)&lt;=9),3,4))))</f>
        <v>4</v>
      </c>
      <c r="D1833" s="6"/>
      <c r="E1833" s="4" t="s">
        <v>16</v>
      </c>
      <c r="F1833" s="2"/>
    </row>
    <row r="1834" spans="1:6" ht="15.75" thickBot="1">
      <c r="A1834" s="6"/>
      <c r="B1834" s="4" t="s">
        <v>17</v>
      </c>
      <c r="C1834" s="5">
        <v>43456</v>
      </c>
      <c r="D1834" s="6"/>
      <c r="E1834" s="4" t="s">
        <v>18</v>
      </c>
      <c r="F1834" s="2"/>
    </row>
    <row r="1835" spans="1:6" ht="15.75" thickBot="1">
      <c r="A1835" s="6"/>
      <c r="B1835" s="4" t="s">
        <v>15</v>
      </c>
      <c r="C1835" s="7">
        <f>IF(C1834="","",IF(AND(MONTH(C1834)&gt;=1,MONTH(C1834)&lt;=3),1,IF(AND(MONTH(C1834)&gt;=4,MONTH(C1834)&lt;=6),2,IF(AND(MONTH(C1834)&gt;=7,MONTH(C1834)&lt;=9),3,4))))</f>
        <v>4</v>
      </c>
      <c r="D1835" s="6"/>
      <c r="E1835" s="4" t="s">
        <v>19</v>
      </c>
      <c r="F1835" s="2"/>
    </row>
    <row r="1836" spans="1:6" ht="15.75" thickBot="1">
      <c r="A1836" s="50"/>
      <c r="B1836" s="50"/>
      <c r="C1836" s="50"/>
      <c r="D1836" s="50"/>
      <c r="E1836" s="50"/>
      <c r="F1836" s="50"/>
    </row>
    <row r="1837" spans="1:6" ht="15.75" thickBot="1">
      <c r="A1837" s="41" t="s">
        <v>43</v>
      </c>
      <c r="B1837" s="41" t="s">
        <v>44</v>
      </c>
      <c r="C1837" s="41" t="s">
        <v>45</v>
      </c>
      <c r="D1837" s="41" t="s">
        <v>46</v>
      </c>
      <c r="E1837" s="41" t="s">
        <v>47</v>
      </c>
      <c r="F1837" s="41" t="s">
        <v>48</v>
      </c>
    </row>
    <row r="1838" spans="1:6" ht="22.5">
      <c r="A1838" s="52">
        <v>82101602</v>
      </c>
      <c r="B1838" s="43" t="str">
        <f ca="1">IFERROR(INDEX(UNSPSCDes,MATCH(INDIRECT(ADDRESS(ROW(),COLUMN()-1,4)),UNSPSCCode,0)),"")</f>
        <v>Publicidad en televisión</v>
      </c>
      <c r="C1838" s="42" t="s">
        <v>252</v>
      </c>
      <c r="D1838" s="42">
        <v>44</v>
      </c>
      <c r="E1838" s="45">
        <v>9440</v>
      </c>
      <c r="F1838" s="46">
        <f ca="1">INDIRECT(ADDRESS(ROW(),COLUMN()-2,4))*INDIRECT(ADDRESS(ROW(),COLUMN()-1,4))</f>
        <v>415360</v>
      </c>
    </row>
    <row r="1839" spans="1:6">
      <c r="A1839" s="50"/>
      <c r="B1839" s="50"/>
      <c r="C1839" s="50"/>
      <c r="D1839" s="50"/>
      <c r="E1839" s="51" t="s">
        <v>50</v>
      </c>
      <c r="F1839" s="48">
        <f ca="1">SUM(Table3148[MONTO TOTAL ESTIMADO])</f>
        <v>415360</v>
      </c>
    </row>
    <row r="1840" spans="1:6" ht="17.25" thickBot="1">
      <c r="A1840" s="36"/>
      <c r="B1840" s="36"/>
      <c r="C1840" s="36"/>
      <c r="D1840" s="36"/>
      <c r="E1840" s="36"/>
      <c r="F1840" s="36"/>
    </row>
    <row r="1841" spans="1:6" ht="34.5" thickBot="1">
      <c r="A1841" s="1" t="s">
        <v>0</v>
      </c>
      <c r="B1841" s="1" t="s">
        <v>1</v>
      </c>
      <c r="C1841" s="1" t="s">
        <v>2</v>
      </c>
      <c r="D1841" s="1" t="s">
        <v>3</v>
      </c>
      <c r="E1841" s="1" t="s">
        <v>4</v>
      </c>
      <c r="F1841" s="1" t="s">
        <v>5</v>
      </c>
    </row>
    <row r="1842" spans="1:6" ht="15.75" thickBot="1">
      <c r="A1842" s="2" t="s">
        <v>6</v>
      </c>
      <c r="B1842" s="2" t="s">
        <v>329</v>
      </c>
      <c r="C1842" s="2" t="s">
        <v>8</v>
      </c>
      <c r="D1842" s="2" t="s">
        <v>9</v>
      </c>
      <c r="E1842" s="2" t="s">
        <v>10</v>
      </c>
      <c r="F1842" s="2"/>
    </row>
    <row r="1843" spans="1:6" ht="15.75" thickBot="1">
      <c r="A1843" s="3" t="s">
        <v>11</v>
      </c>
      <c r="B1843" s="4" t="s">
        <v>12</v>
      </c>
      <c r="C1843" s="5">
        <v>43435</v>
      </c>
      <c r="D1843" s="3" t="s">
        <v>13</v>
      </c>
      <c r="E1843" s="4" t="s">
        <v>14</v>
      </c>
      <c r="F1843" s="2"/>
    </row>
    <row r="1844" spans="1:6" ht="15.75" thickBot="1">
      <c r="A1844" s="6"/>
      <c r="B1844" s="4" t="s">
        <v>15</v>
      </c>
      <c r="C1844" s="7">
        <f>IF(C1843="","",IF(AND(MONTH(C1843)&gt;=1,MONTH(C1843)&lt;=3),1,IF(AND(MONTH(C1843)&gt;=4,MONTH(C1843)&lt;=6),2,IF(AND(MONTH(C1843)&gt;=7,MONTH(C1843)&lt;=9),3,4))))</f>
        <v>4</v>
      </c>
      <c r="D1844" s="6"/>
      <c r="E1844" s="4" t="s">
        <v>16</v>
      </c>
      <c r="F1844" s="2"/>
    </row>
    <row r="1845" spans="1:6" ht="15.75" thickBot="1">
      <c r="A1845" s="6"/>
      <c r="B1845" s="4" t="s">
        <v>17</v>
      </c>
      <c r="C1845" s="5">
        <v>43456</v>
      </c>
      <c r="D1845" s="6"/>
      <c r="E1845" s="4" t="s">
        <v>18</v>
      </c>
      <c r="F1845" s="2"/>
    </row>
    <row r="1846" spans="1:6" ht="15.75" thickBot="1">
      <c r="A1846" s="6"/>
      <c r="B1846" s="4" t="s">
        <v>15</v>
      </c>
      <c r="C1846" s="7">
        <f>IF(C1845="","",IF(AND(MONTH(C1845)&gt;=1,MONTH(C1845)&lt;=3),1,IF(AND(MONTH(C1845)&gt;=4,MONTH(C1845)&lt;=6),2,IF(AND(MONTH(C1845)&gt;=7,MONTH(C1845)&lt;=9),3,4))))</f>
        <v>4</v>
      </c>
      <c r="D1846" s="6"/>
      <c r="E1846" s="4" t="s">
        <v>19</v>
      </c>
      <c r="F1846" s="2"/>
    </row>
    <row r="1847" spans="1:6" ht="15.75" thickBot="1">
      <c r="A1847" s="50"/>
      <c r="B1847" s="50"/>
      <c r="C1847" s="50"/>
      <c r="D1847" s="50"/>
      <c r="E1847" s="50"/>
      <c r="F1847" s="50"/>
    </row>
    <row r="1848" spans="1:6" ht="15.75" thickBot="1">
      <c r="A1848" s="41" t="s">
        <v>43</v>
      </c>
      <c r="B1848" s="41" t="s">
        <v>44</v>
      </c>
      <c r="C1848" s="41" t="s">
        <v>45</v>
      </c>
      <c r="D1848" s="41" t="s">
        <v>46</v>
      </c>
      <c r="E1848" s="41" t="s">
        <v>47</v>
      </c>
      <c r="F1848" s="41" t="s">
        <v>48</v>
      </c>
    </row>
    <row r="1849" spans="1:6" ht="22.5">
      <c r="A1849" s="52">
        <v>82101602</v>
      </c>
      <c r="B1849" s="43" t="str">
        <f ca="1">IFERROR(INDEX(UNSPSCDes,MATCH(INDIRECT(ADDRESS(ROW(),COLUMN()-1,4)),UNSPSCCode,0)),"")</f>
        <v>Publicidad en televisión</v>
      </c>
      <c r="C1849" s="42" t="s">
        <v>252</v>
      </c>
      <c r="D1849" s="42">
        <v>44</v>
      </c>
      <c r="E1849" s="45">
        <v>11800</v>
      </c>
      <c r="F1849" s="46">
        <f ca="1">INDIRECT(ADDRESS(ROW(),COLUMN()-2,4))*INDIRECT(ADDRESS(ROW(),COLUMN()-1,4))</f>
        <v>519200</v>
      </c>
    </row>
    <row r="1850" spans="1:6">
      <c r="A1850" s="50"/>
      <c r="B1850" s="50"/>
      <c r="C1850" s="50"/>
      <c r="D1850" s="50"/>
      <c r="E1850" s="51" t="s">
        <v>50</v>
      </c>
      <c r="F1850" s="48">
        <f ca="1">SUM(Table3149[MONTO TOTAL ESTIMADO])</f>
        <v>519200</v>
      </c>
    </row>
    <row r="1851" spans="1:6" ht="17.25" thickBot="1">
      <c r="A1851" s="36"/>
      <c r="B1851" s="36"/>
      <c r="C1851" s="36"/>
      <c r="D1851" s="36"/>
      <c r="E1851" s="36"/>
      <c r="F1851" s="36"/>
    </row>
    <row r="1852" spans="1:6" ht="34.5" thickBot="1">
      <c r="A1852" s="1" t="s">
        <v>0</v>
      </c>
      <c r="B1852" s="1" t="s">
        <v>1</v>
      </c>
      <c r="C1852" s="1" t="s">
        <v>2</v>
      </c>
      <c r="D1852" s="1" t="s">
        <v>3</v>
      </c>
      <c r="E1852" s="1" t="s">
        <v>4</v>
      </c>
      <c r="F1852" s="1" t="s">
        <v>5</v>
      </c>
    </row>
    <row r="1853" spans="1:6" ht="15.75" thickBot="1">
      <c r="A1853" s="2" t="s">
        <v>6</v>
      </c>
      <c r="B1853" s="2" t="s">
        <v>330</v>
      </c>
      <c r="C1853" s="2" t="s">
        <v>8</v>
      </c>
      <c r="D1853" s="2" t="s">
        <v>9</v>
      </c>
      <c r="E1853" s="2" t="s">
        <v>10</v>
      </c>
      <c r="F1853" s="2"/>
    </row>
    <row r="1854" spans="1:6" ht="15.75" thickBot="1">
      <c r="A1854" s="3" t="s">
        <v>11</v>
      </c>
      <c r="B1854" s="4" t="s">
        <v>12</v>
      </c>
      <c r="C1854" s="5">
        <v>43435</v>
      </c>
      <c r="D1854" s="3" t="s">
        <v>13</v>
      </c>
      <c r="E1854" s="4" t="s">
        <v>14</v>
      </c>
      <c r="F1854" s="2"/>
    </row>
    <row r="1855" spans="1:6" ht="15.75" thickBot="1">
      <c r="A1855" s="6"/>
      <c r="B1855" s="4" t="s">
        <v>15</v>
      </c>
      <c r="C1855" s="7">
        <f>IF(C1854="","",IF(AND(MONTH(C1854)&gt;=1,MONTH(C1854)&lt;=3),1,IF(AND(MONTH(C1854)&gt;=4,MONTH(C1854)&lt;=6),2,IF(AND(MONTH(C1854)&gt;=7,MONTH(C1854)&lt;=9),3,4))))</f>
        <v>4</v>
      </c>
      <c r="D1855" s="6"/>
      <c r="E1855" s="4" t="s">
        <v>16</v>
      </c>
      <c r="F1855" s="2"/>
    </row>
    <row r="1856" spans="1:6" ht="15.75" thickBot="1">
      <c r="A1856" s="6"/>
      <c r="B1856" s="4" t="s">
        <v>17</v>
      </c>
      <c r="C1856" s="5">
        <v>43456</v>
      </c>
      <c r="D1856" s="6"/>
      <c r="E1856" s="4" t="s">
        <v>18</v>
      </c>
      <c r="F1856" s="2"/>
    </row>
    <row r="1857" spans="1:6" ht="15.75" thickBot="1">
      <c r="A1857" s="6"/>
      <c r="B1857" s="4" t="s">
        <v>15</v>
      </c>
      <c r="C1857" s="7">
        <f>IF(C1856="","",IF(AND(MONTH(C1856)&gt;=1,MONTH(C1856)&lt;=3),1,IF(AND(MONTH(C1856)&gt;=4,MONTH(C1856)&lt;=6),2,IF(AND(MONTH(C1856)&gt;=7,MONTH(C1856)&lt;=9),3,4))))</f>
        <v>4</v>
      </c>
      <c r="D1857" s="6"/>
      <c r="E1857" s="4" t="s">
        <v>19</v>
      </c>
      <c r="F1857" s="2"/>
    </row>
    <row r="1858" spans="1:6" ht="15.75" thickBot="1">
      <c r="A1858" s="50"/>
      <c r="B1858" s="50"/>
      <c r="C1858" s="50"/>
      <c r="D1858" s="50"/>
      <c r="E1858" s="50"/>
      <c r="F1858" s="50"/>
    </row>
    <row r="1859" spans="1:6" ht="15.75" thickBot="1">
      <c r="A1859" s="41" t="s">
        <v>43</v>
      </c>
      <c r="B1859" s="41" t="s">
        <v>44</v>
      </c>
      <c r="C1859" s="41" t="s">
        <v>45</v>
      </c>
      <c r="D1859" s="41" t="s">
        <v>46</v>
      </c>
      <c r="E1859" s="41" t="s">
        <v>47</v>
      </c>
      <c r="F1859" s="41" t="s">
        <v>48</v>
      </c>
    </row>
    <row r="1860" spans="1:6" ht="22.5">
      <c r="A1860" s="52">
        <v>82101602</v>
      </c>
      <c r="B1860" s="43" t="str">
        <f ca="1">IFERROR(INDEX(UNSPSCDes,MATCH(INDIRECT(ADDRESS(ROW(),COLUMN()-1,4)),UNSPSCCode,0)),"")</f>
        <v>Publicidad en televisión</v>
      </c>
      <c r="C1860" s="42" t="s">
        <v>252</v>
      </c>
      <c r="D1860" s="42">
        <v>44</v>
      </c>
      <c r="E1860" s="45">
        <v>11800</v>
      </c>
      <c r="F1860" s="46">
        <f ca="1">INDIRECT(ADDRESS(ROW(),COLUMN()-2,4))*INDIRECT(ADDRESS(ROW(),COLUMN()-1,4))</f>
        <v>519200</v>
      </c>
    </row>
    <row r="1861" spans="1:6">
      <c r="A1861" s="50"/>
      <c r="B1861" s="50"/>
      <c r="C1861" s="50"/>
      <c r="D1861" s="50"/>
      <c r="E1861" s="51" t="s">
        <v>50</v>
      </c>
      <c r="F1861" s="48">
        <f ca="1">SUM(Table3150[MONTO TOTAL ESTIMADO])</f>
        <v>519200</v>
      </c>
    </row>
    <row r="1862" spans="1:6" ht="17.25" thickBot="1">
      <c r="A1862" s="36"/>
      <c r="B1862" s="36"/>
      <c r="C1862" s="36"/>
      <c r="D1862" s="36"/>
      <c r="E1862" s="36"/>
      <c r="F1862" s="36"/>
    </row>
    <row r="1863" spans="1:6" ht="34.5" thickBot="1">
      <c r="A1863" s="1" t="s">
        <v>0</v>
      </c>
      <c r="B1863" s="1" t="s">
        <v>1</v>
      </c>
      <c r="C1863" s="1" t="s">
        <v>2</v>
      </c>
      <c r="D1863" s="1" t="s">
        <v>3</v>
      </c>
      <c r="E1863" s="1" t="s">
        <v>4</v>
      </c>
      <c r="F1863" s="1" t="s">
        <v>5</v>
      </c>
    </row>
    <row r="1864" spans="1:6" ht="15.75" thickBot="1">
      <c r="A1864" s="2" t="s">
        <v>6</v>
      </c>
      <c r="B1864" s="2" t="s">
        <v>331</v>
      </c>
      <c r="C1864" s="2" t="s">
        <v>8</v>
      </c>
      <c r="D1864" s="2" t="s">
        <v>9</v>
      </c>
      <c r="E1864" s="2" t="s">
        <v>10</v>
      </c>
      <c r="F1864" s="2"/>
    </row>
    <row r="1865" spans="1:6" ht="15.75" thickBot="1">
      <c r="A1865" s="3" t="s">
        <v>11</v>
      </c>
      <c r="B1865" s="4" t="s">
        <v>12</v>
      </c>
      <c r="C1865" s="5">
        <v>43435</v>
      </c>
      <c r="D1865" s="3" t="s">
        <v>13</v>
      </c>
      <c r="E1865" s="4" t="s">
        <v>14</v>
      </c>
      <c r="F1865" s="2"/>
    </row>
    <row r="1866" spans="1:6" ht="15.75" thickBot="1">
      <c r="A1866" s="6"/>
      <c r="B1866" s="4" t="s">
        <v>15</v>
      </c>
      <c r="C1866" s="7">
        <f>IF(C1865="","",IF(AND(MONTH(C1865)&gt;=1,MONTH(C1865)&lt;=3),1,IF(AND(MONTH(C1865)&gt;=4,MONTH(C1865)&lt;=6),2,IF(AND(MONTH(C1865)&gt;=7,MONTH(C1865)&lt;=9),3,4))))</f>
        <v>4</v>
      </c>
      <c r="D1866" s="6"/>
      <c r="E1866" s="4" t="s">
        <v>16</v>
      </c>
      <c r="F1866" s="2"/>
    </row>
    <row r="1867" spans="1:6" ht="15.75" thickBot="1">
      <c r="A1867" s="6"/>
      <c r="B1867" s="4" t="s">
        <v>17</v>
      </c>
      <c r="C1867" s="5">
        <v>43456</v>
      </c>
      <c r="D1867" s="6"/>
      <c r="E1867" s="4" t="s">
        <v>18</v>
      </c>
      <c r="F1867" s="2"/>
    </row>
    <row r="1868" spans="1:6" ht="15.75" thickBot="1">
      <c r="A1868" s="6"/>
      <c r="B1868" s="4" t="s">
        <v>15</v>
      </c>
      <c r="C1868" s="7">
        <f>IF(C1867="","",IF(AND(MONTH(C1867)&gt;=1,MONTH(C1867)&lt;=3),1,IF(AND(MONTH(C1867)&gt;=4,MONTH(C1867)&lt;=6),2,IF(AND(MONTH(C1867)&gt;=7,MONTH(C1867)&lt;=9),3,4))))</f>
        <v>4</v>
      </c>
      <c r="D1868" s="6"/>
      <c r="E1868" s="4" t="s">
        <v>19</v>
      </c>
      <c r="F1868" s="2"/>
    </row>
    <row r="1869" spans="1:6" ht="15.75" thickBot="1">
      <c r="A1869" s="50"/>
      <c r="B1869" s="50"/>
      <c r="C1869" s="50"/>
      <c r="D1869" s="50"/>
      <c r="E1869" s="50"/>
      <c r="F1869" s="50"/>
    </row>
    <row r="1870" spans="1:6" ht="15.75" thickBot="1">
      <c r="A1870" s="41" t="s">
        <v>43</v>
      </c>
      <c r="B1870" s="41" t="s">
        <v>44</v>
      </c>
      <c r="C1870" s="41" t="s">
        <v>45</v>
      </c>
      <c r="D1870" s="41" t="s">
        <v>46</v>
      </c>
      <c r="E1870" s="41" t="s">
        <v>47</v>
      </c>
      <c r="F1870" s="41" t="s">
        <v>48</v>
      </c>
    </row>
    <row r="1871" spans="1:6" ht="22.5">
      <c r="A1871" s="52">
        <v>82101602</v>
      </c>
      <c r="B1871" s="43" t="str">
        <f ca="1">IFERROR(INDEX(UNSPSCDes,MATCH(INDIRECT(ADDRESS(ROW(),COLUMN()-1,4)),UNSPSCCode,0)),"")</f>
        <v>Publicidad en televisión</v>
      </c>
      <c r="C1871" s="42" t="s">
        <v>252</v>
      </c>
      <c r="D1871" s="42">
        <v>44</v>
      </c>
      <c r="E1871" s="45">
        <v>11800</v>
      </c>
      <c r="F1871" s="46">
        <f ca="1">INDIRECT(ADDRESS(ROW(),COLUMN()-2,4))*INDIRECT(ADDRESS(ROW(),COLUMN()-1,4))</f>
        <v>519200</v>
      </c>
    </row>
    <row r="1872" spans="1:6">
      <c r="A1872" s="50"/>
      <c r="B1872" s="50"/>
      <c r="C1872" s="50"/>
      <c r="D1872" s="50"/>
      <c r="E1872" s="51" t="s">
        <v>50</v>
      </c>
      <c r="F1872" s="48">
        <f ca="1">SUM(Table3151[MONTO TOTAL ESTIMADO])</f>
        <v>519200</v>
      </c>
    </row>
    <row r="1873" spans="1:6" ht="17.25" thickBot="1">
      <c r="A1873" s="36"/>
      <c r="B1873" s="36"/>
      <c r="C1873" s="36"/>
      <c r="D1873" s="36"/>
      <c r="E1873" s="36"/>
      <c r="F1873" s="36"/>
    </row>
    <row r="1874" spans="1:6" ht="34.5" thickBot="1">
      <c r="A1874" s="1" t="s">
        <v>0</v>
      </c>
      <c r="B1874" s="1" t="s">
        <v>1</v>
      </c>
      <c r="C1874" s="1" t="s">
        <v>2</v>
      </c>
      <c r="D1874" s="1" t="s">
        <v>3</v>
      </c>
      <c r="E1874" s="1" t="s">
        <v>4</v>
      </c>
      <c r="F1874" s="1" t="s">
        <v>5</v>
      </c>
    </row>
    <row r="1875" spans="1:6" ht="15.75" thickBot="1">
      <c r="A1875" s="2" t="s">
        <v>6</v>
      </c>
      <c r="B1875" s="2" t="s">
        <v>332</v>
      </c>
      <c r="C1875" s="2" t="s">
        <v>8</v>
      </c>
      <c r="D1875" s="2" t="s">
        <v>9</v>
      </c>
      <c r="E1875" s="2" t="s">
        <v>10</v>
      </c>
      <c r="F1875" s="2"/>
    </row>
    <row r="1876" spans="1:6" ht="15.75" thickBot="1">
      <c r="A1876" s="3" t="s">
        <v>11</v>
      </c>
      <c r="B1876" s="4" t="s">
        <v>12</v>
      </c>
      <c r="C1876" s="5">
        <v>43435</v>
      </c>
      <c r="D1876" s="3" t="s">
        <v>13</v>
      </c>
      <c r="E1876" s="4" t="s">
        <v>14</v>
      </c>
      <c r="F1876" s="2"/>
    </row>
    <row r="1877" spans="1:6" ht="15.75" thickBot="1">
      <c r="A1877" s="6"/>
      <c r="B1877" s="4" t="s">
        <v>15</v>
      </c>
      <c r="C1877" s="7">
        <f>IF(C1876="","",IF(AND(MONTH(C1876)&gt;=1,MONTH(C1876)&lt;=3),1,IF(AND(MONTH(C1876)&gt;=4,MONTH(C1876)&lt;=6),2,IF(AND(MONTH(C1876)&gt;=7,MONTH(C1876)&lt;=9),3,4))))</f>
        <v>4</v>
      </c>
      <c r="D1877" s="6"/>
      <c r="E1877" s="4" t="s">
        <v>16</v>
      </c>
      <c r="F1877" s="2"/>
    </row>
    <row r="1878" spans="1:6" ht="15.75" thickBot="1">
      <c r="A1878" s="6"/>
      <c r="B1878" s="4" t="s">
        <v>17</v>
      </c>
      <c r="C1878" s="5">
        <v>43456</v>
      </c>
      <c r="D1878" s="6"/>
      <c r="E1878" s="4" t="s">
        <v>18</v>
      </c>
      <c r="F1878" s="2"/>
    </row>
    <row r="1879" spans="1:6" ht="15.75" thickBot="1">
      <c r="A1879" s="6"/>
      <c r="B1879" s="4" t="s">
        <v>15</v>
      </c>
      <c r="C1879" s="7">
        <f>IF(C1878="","",IF(AND(MONTH(C1878)&gt;=1,MONTH(C1878)&lt;=3),1,IF(AND(MONTH(C1878)&gt;=4,MONTH(C1878)&lt;=6),2,IF(AND(MONTH(C1878)&gt;=7,MONTH(C1878)&lt;=9),3,4))))</f>
        <v>4</v>
      </c>
      <c r="D1879" s="6"/>
      <c r="E1879" s="4" t="s">
        <v>19</v>
      </c>
      <c r="F1879" s="2"/>
    </row>
    <row r="1880" spans="1:6" ht="15.75" thickBot="1">
      <c r="A1880" s="50"/>
      <c r="B1880" s="50"/>
      <c r="C1880" s="50"/>
      <c r="D1880" s="50"/>
      <c r="E1880" s="50"/>
      <c r="F1880" s="50"/>
    </row>
    <row r="1881" spans="1:6" ht="15.75" thickBot="1">
      <c r="A1881" s="41" t="s">
        <v>43</v>
      </c>
      <c r="B1881" s="41" t="s">
        <v>44</v>
      </c>
      <c r="C1881" s="41" t="s">
        <v>45</v>
      </c>
      <c r="D1881" s="41" t="s">
        <v>46</v>
      </c>
      <c r="E1881" s="41" t="s">
        <v>47</v>
      </c>
      <c r="F1881" s="41" t="s">
        <v>48</v>
      </c>
    </row>
    <row r="1882" spans="1:6" ht="22.5">
      <c r="A1882" s="52">
        <v>82101602</v>
      </c>
      <c r="B1882" s="43" t="str">
        <f ca="1">IFERROR(INDEX(UNSPSCDes,MATCH(INDIRECT(ADDRESS(ROW(),COLUMN()-1,4)),UNSPSCCode,0)),"")</f>
        <v>Publicidad en televisión</v>
      </c>
      <c r="C1882" s="42" t="s">
        <v>252</v>
      </c>
      <c r="D1882" s="42">
        <v>8</v>
      </c>
      <c r="E1882" s="45">
        <v>3540</v>
      </c>
      <c r="F1882" s="46">
        <f ca="1">INDIRECT(ADDRESS(ROW(),COLUMN()-2,4))*INDIRECT(ADDRESS(ROW(),COLUMN()-1,4))</f>
        <v>28320</v>
      </c>
    </row>
    <row r="1883" spans="1:6">
      <c r="A1883" s="50"/>
      <c r="B1883" s="50"/>
      <c r="C1883" s="50"/>
      <c r="D1883" s="50"/>
      <c r="E1883" s="51" t="s">
        <v>50</v>
      </c>
      <c r="F1883" s="48">
        <f ca="1">SUM(Table3152[MONTO TOTAL ESTIMADO])</f>
        <v>28320</v>
      </c>
    </row>
    <row r="1884" spans="1:6" ht="17.25" thickBot="1">
      <c r="A1884" s="36"/>
      <c r="B1884" s="36"/>
      <c r="C1884" s="36"/>
      <c r="D1884" s="36"/>
      <c r="E1884" s="36"/>
      <c r="F1884" s="36"/>
    </row>
    <row r="1885" spans="1:6" ht="34.5" thickBot="1">
      <c r="A1885" s="1" t="s">
        <v>0</v>
      </c>
      <c r="B1885" s="1" t="s">
        <v>1</v>
      </c>
      <c r="C1885" s="1" t="s">
        <v>2</v>
      </c>
      <c r="D1885" s="1" t="s">
        <v>3</v>
      </c>
      <c r="E1885" s="1" t="s">
        <v>4</v>
      </c>
      <c r="F1885" s="1" t="s">
        <v>5</v>
      </c>
    </row>
    <row r="1886" spans="1:6" ht="15.75" thickBot="1">
      <c r="A1886" s="2" t="s">
        <v>6</v>
      </c>
      <c r="B1886" s="2" t="s">
        <v>333</v>
      </c>
      <c r="C1886" s="2" t="s">
        <v>8</v>
      </c>
      <c r="D1886" s="2" t="s">
        <v>9</v>
      </c>
      <c r="E1886" s="2" t="s">
        <v>10</v>
      </c>
      <c r="F1886" s="2"/>
    </row>
    <row r="1887" spans="1:6" ht="15.75" thickBot="1">
      <c r="A1887" s="3" t="s">
        <v>11</v>
      </c>
      <c r="B1887" s="4" t="s">
        <v>12</v>
      </c>
      <c r="C1887" s="5">
        <v>43435</v>
      </c>
      <c r="D1887" s="3" t="s">
        <v>13</v>
      </c>
      <c r="E1887" s="4" t="s">
        <v>14</v>
      </c>
      <c r="F1887" s="2"/>
    </row>
    <row r="1888" spans="1:6" ht="15.75" thickBot="1">
      <c r="A1888" s="6"/>
      <c r="B1888" s="4" t="s">
        <v>15</v>
      </c>
      <c r="C1888" s="7">
        <f>IF(C1887="","",IF(AND(MONTH(C1887)&gt;=1,MONTH(C1887)&lt;=3),1,IF(AND(MONTH(C1887)&gt;=4,MONTH(C1887)&lt;=6),2,IF(AND(MONTH(C1887)&gt;=7,MONTH(C1887)&lt;=9),3,4))))</f>
        <v>4</v>
      </c>
      <c r="D1888" s="6"/>
      <c r="E1888" s="4" t="s">
        <v>16</v>
      </c>
      <c r="F1888" s="2"/>
    </row>
    <row r="1889" spans="1:6" ht="15.75" thickBot="1">
      <c r="A1889" s="6"/>
      <c r="B1889" s="4" t="s">
        <v>17</v>
      </c>
      <c r="C1889" s="5">
        <v>43456</v>
      </c>
      <c r="D1889" s="6"/>
      <c r="E1889" s="4" t="s">
        <v>18</v>
      </c>
      <c r="F1889" s="2"/>
    </row>
    <row r="1890" spans="1:6" ht="15.75" thickBot="1">
      <c r="A1890" s="6"/>
      <c r="B1890" s="4" t="s">
        <v>15</v>
      </c>
      <c r="C1890" s="7">
        <f>IF(C1889="","",IF(AND(MONTH(C1889)&gt;=1,MONTH(C1889)&lt;=3),1,IF(AND(MONTH(C1889)&gt;=4,MONTH(C1889)&lt;=6),2,IF(AND(MONTH(C1889)&gt;=7,MONTH(C1889)&lt;=9),3,4))))</f>
        <v>4</v>
      </c>
      <c r="D1890" s="6"/>
      <c r="E1890" s="4" t="s">
        <v>19</v>
      </c>
      <c r="F1890" s="2"/>
    </row>
    <row r="1891" spans="1:6" ht="15.75" thickBot="1">
      <c r="A1891" s="50"/>
      <c r="B1891" s="50"/>
      <c r="C1891" s="50"/>
      <c r="D1891" s="50"/>
      <c r="E1891" s="50"/>
      <c r="F1891" s="50"/>
    </row>
    <row r="1892" spans="1:6" ht="15.75" thickBot="1">
      <c r="A1892" s="41" t="s">
        <v>43</v>
      </c>
      <c r="B1892" s="41" t="s">
        <v>44</v>
      </c>
      <c r="C1892" s="41" t="s">
        <v>45</v>
      </c>
      <c r="D1892" s="41" t="s">
        <v>46</v>
      </c>
      <c r="E1892" s="41" t="s">
        <v>47</v>
      </c>
      <c r="F1892" s="41" t="s">
        <v>48</v>
      </c>
    </row>
    <row r="1893" spans="1:6" ht="22.5">
      <c r="A1893" s="52">
        <v>82101602</v>
      </c>
      <c r="B1893" s="43" t="str">
        <f ca="1">IFERROR(INDEX(UNSPSCDes,MATCH(INDIRECT(ADDRESS(ROW(),COLUMN()-1,4)),UNSPSCCode,0)),"")</f>
        <v>Publicidad en televisión</v>
      </c>
      <c r="C1893" s="42" t="s">
        <v>252</v>
      </c>
      <c r="D1893" s="42">
        <v>44</v>
      </c>
      <c r="E1893" s="45">
        <v>26550</v>
      </c>
      <c r="F1893" s="46">
        <f ca="1">INDIRECT(ADDRESS(ROW(),COLUMN()-2,4))*INDIRECT(ADDRESS(ROW(),COLUMN()-1,4))</f>
        <v>1168200</v>
      </c>
    </row>
    <row r="1894" spans="1:6">
      <c r="A1894" s="50"/>
      <c r="B1894" s="50"/>
      <c r="C1894" s="50"/>
      <c r="D1894" s="50"/>
      <c r="E1894" s="51" t="s">
        <v>50</v>
      </c>
      <c r="F1894" s="48">
        <f ca="1">SUM(Table3153[MONTO TOTAL ESTIMADO])</f>
        <v>1168200</v>
      </c>
    </row>
    <row r="1895" spans="1:6" ht="17.25" thickBot="1">
      <c r="A1895" s="36"/>
      <c r="B1895" s="36"/>
      <c r="C1895" s="36"/>
      <c r="D1895" s="36"/>
      <c r="E1895" s="36"/>
      <c r="F1895" s="36"/>
    </row>
    <row r="1896" spans="1:6" ht="34.5" thickBot="1">
      <c r="A1896" s="1" t="s">
        <v>0</v>
      </c>
      <c r="B1896" s="1" t="s">
        <v>1</v>
      </c>
      <c r="C1896" s="1" t="s">
        <v>2</v>
      </c>
      <c r="D1896" s="1" t="s">
        <v>3</v>
      </c>
      <c r="E1896" s="1" t="s">
        <v>4</v>
      </c>
      <c r="F1896" s="1" t="s">
        <v>5</v>
      </c>
    </row>
    <row r="1897" spans="1:6" ht="15.75" thickBot="1">
      <c r="A1897" s="2" t="s">
        <v>6</v>
      </c>
      <c r="B1897" s="2" t="s">
        <v>7</v>
      </c>
      <c r="C1897" s="2" t="s">
        <v>8</v>
      </c>
      <c r="D1897" s="2" t="s">
        <v>9</v>
      </c>
      <c r="E1897" s="2" t="s">
        <v>10</v>
      </c>
      <c r="F1897" s="2"/>
    </row>
    <row r="1898" spans="1:6" ht="15.75" thickBot="1">
      <c r="A1898" s="3" t="s">
        <v>11</v>
      </c>
      <c r="B1898" s="4" t="s">
        <v>12</v>
      </c>
      <c r="C1898" s="5">
        <v>43435</v>
      </c>
      <c r="D1898" s="3" t="s">
        <v>13</v>
      </c>
      <c r="E1898" s="4" t="s">
        <v>14</v>
      </c>
      <c r="F1898" s="2"/>
    </row>
    <row r="1899" spans="1:6" ht="15.75" thickBot="1">
      <c r="A1899" s="6"/>
      <c r="B1899" s="4" t="s">
        <v>15</v>
      </c>
      <c r="C1899" s="7">
        <f>IF(C1898="","",IF(AND(MONTH(C1898)&gt;=1,MONTH(C1898)&lt;=3),1,IF(AND(MONTH(C1898)&gt;=4,MONTH(C1898)&lt;=6),2,IF(AND(MONTH(C1898)&gt;=7,MONTH(C1898)&lt;=9),3,4))))</f>
        <v>4</v>
      </c>
      <c r="D1899" s="6"/>
      <c r="E1899" s="4" t="s">
        <v>16</v>
      </c>
      <c r="F1899" s="2"/>
    </row>
    <row r="1900" spans="1:6" ht="15.75" thickBot="1">
      <c r="A1900" s="6"/>
      <c r="B1900" s="4" t="s">
        <v>17</v>
      </c>
      <c r="C1900" s="5">
        <v>43456</v>
      </c>
      <c r="D1900" s="6"/>
      <c r="E1900" s="4" t="s">
        <v>18</v>
      </c>
      <c r="F1900" s="2"/>
    </row>
    <row r="1901" spans="1:6" ht="15.75" thickBot="1">
      <c r="A1901" s="6"/>
      <c r="B1901" s="4" t="s">
        <v>15</v>
      </c>
      <c r="C1901" s="7">
        <f>IF(C1900="","",IF(AND(MONTH(C1900)&gt;=1,MONTH(C1900)&lt;=3),1,IF(AND(MONTH(C1900)&gt;=4,MONTH(C1900)&lt;=6),2,IF(AND(MONTH(C1900)&gt;=7,MONTH(C1900)&lt;=9),3,4))))</f>
        <v>4</v>
      </c>
      <c r="D1901" s="6"/>
      <c r="E1901" s="4" t="s">
        <v>19</v>
      </c>
      <c r="F1901" s="2"/>
    </row>
    <row r="1902" spans="1:6" ht="15.75" thickBot="1">
      <c r="A1902" s="50"/>
      <c r="B1902" s="50"/>
      <c r="C1902" s="50"/>
      <c r="D1902" s="50"/>
      <c r="E1902" s="50"/>
      <c r="F1902" s="50"/>
    </row>
    <row r="1903" spans="1:6" ht="15.75" thickBot="1">
      <c r="A1903" s="41" t="s">
        <v>43</v>
      </c>
      <c r="B1903" s="41" t="s">
        <v>44</v>
      </c>
      <c r="C1903" s="41" t="s">
        <v>45</v>
      </c>
      <c r="D1903" s="41" t="s">
        <v>46</v>
      </c>
      <c r="E1903" s="41" t="s">
        <v>47</v>
      </c>
      <c r="F1903" s="41" t="s">
        <v>48</v>
      </c>
    </row>
    <row r="1904" spans="1:6" ht="22.5">
      <c r="A1904" s="52">
        <v>82101602</v>
      </c>
      <c r="B1904" s="43" t="str">
        <f ca="1">IFERROR(INDEX(UNSPSCDes,MATCH(INDIRECT(ADDRESS(ROW(),COLUMN()-1,4)),UNSPSCCode,0)),"")</f>
        <v>Publicidad en televisión</v>
      </c>
      <c r="C1904" s="42" t="s">
        <v>252</v>
      </c>
      <c r="D1904" s="42">
        <v>44</v>
      </c>
      <c r="E1904" s="45">
        <v>21240</v>
      </c>
      <c r="F1904" s="46">
        <f ca="1">INDIRECT(ADDRESS(ROW(),COLUMN()-2,4))*INDIRECT(ADDRESS(ROW(),COLUMN()-1,4))</f>
        <v>934560</v>
      </c>
    </row>
    <row r="1905" spans="1:6">
      <c r="A1905" s="50"/>
      <c r="B1905" s="50"/>
      <c r="C1905" s="50"/>
      <c r="D1905" s="50"/>
      <c r="E1905" s="51" t="s">
        <v>50</v>
      </c>
      <c r="F1905" s="48">
        <f ca="1">SUM(Table3154[MONTO TOTAL ESTIMADO])</f>
        <v>934560</v>
      </c>
    </row>
    <row r="1906" spans="1:6" ht="17.25" thickBot="1">
      <c r="A1906" s="36"/>
      <c r="B1906" s="36"/>
      <c r="C1906" s="36"/>
      <c r="D1906" s="36"/>
      <c r="E1906" s="36"/>
      <c r="F1906" s="36"/>
    </row>
    <row r="1907" spans="1:6" ht="34.5" thickBot="1">
      <c r="A1907" s="1" t="s">
        <v>0</v>
      </c>
      <c r="B1907" s="1" t="s">
        <v>1</v>
      </c>
      <c r="C1907" s="1" t="s">
        <v>2</v>
      </c>
      <c r="D1907" s="1" t="s">
        <v>3</v>
      </c>
      <c r="E1907" s="1" t="s">
        <v>4</v>
      </c>
      <c r="F1907" s="1" t="s">
        <v>5</v>
      </c>
    </row>
    <row r="1908" spans="1:6" ht="15.75" thickBot="1">
      <c r="A1908" s="2" t="s">
        <v>6</v>
      </c>
      <c r="B1908" s="2" t="s">
        <v>334</v>
      </c>
      <c r="C1908" s="2" t="s">
        <v>8</v>
      </c>
      <c r="D1908" s="2" t="s">
        <v>9</v>
      </c>
      <c r="E1908" s="2" t="s">
        <v>10</v>
      </c>
      <c r="F1908" s="2"/>
    </row>
    <row r="1909" spans="1:6" ht="15.75" thickBot="1">
      <c r="A1909" s="3" t="s">
        <v>11</v>
      </c>
      <c r="B1909" s="4" t="s">
        <v>12</v>
      </c>
      <c r="C1909" s="5">
        <v>43435</v>
      </c>
      <c r="D1909" s="3" t="s">
        <v>13</v>
      </c>
      <c r="E1909" s="4" t="s">
        <v>14</v>
      </c>
      <c r="F1909" s="2"/>
    </row>
    <row r="1910" spans="1:6" ht="15.75" thickBot="1">
      <c r="A1910" s="6"/>
      <c r="B1910" s="4" t="s">
        <v>15</v>
      </c>
      <c r="C1910" s="7">
        <f>IF(C1909="","",IF(AND(MONTH(C1909)&gt;=1,MONTH(C1909)&lt;=3),1,IF(AND(MONTH(C1909)&gt;=4,MONTH(C1909)&lt;=6),2,IF(AND(MONTH(C1909)&gt;=7,MONTH(C1909)&lt;=9),3,4))))</f>
        <v>4</v>
      </c>
      <c r="D1910" s="6"/>
      <c r="E1910" s="4" t="s">
        <v>16</v>
      </c>
      <c r="F1910" s="2"/>
    </row>
    <row r="1911" spans="1:6" ht="15.75" thickBot="1">
      <c r="A1911" s="6"/>
      <c r="B1911" s="4" t="s">
        <v>17</v>
      </c>
      <c r="C1911" s="5">
        <v>43456</v>
      </c>
      <c r="D1911" s="6"/>
      <c r="E1911" s="4" t="s">
        <v>18</v>
      </c>
      <c r="F1911" s="2"/>
    </row>
    <row r="1912" spans="1:6" ht="15.75" thickBot="1">
      <c r="A1912" s="6"/>
      <c r="B1912" s="4" t="s">
        <v>15</v>
      </c>
      <c r="C1912" s="7">
        <f>IF(C1911="","",IF(AND(MONTH(C1911)&gt;=1,MONTH(C1911)&lt;=3),1,IF(AND(MONTH(C1911)&gt;=4,MONTH(C1911)&lt;=6),2,IF(AND(MONTH(C1911)&gt;=7,MONTH(C1911)&lt;=9),3,4))))</f>
        <v>4</v>
      </c>
      <c r="D1912" s="6"/>
      <c r="E1912" s="4" t="s">
        <v>19</v>
      </c>
      <c r="F1912" s="2"/>
    </row>
    <row r="1913" spans="1:6" ht="15.75" thickBot="1">
      <c r="A1913" s="50"/>
      <c r="B1913" s="50"/>
      <c r="C1913" s="50"/>
      <c r="D1913" s="50"/>
      <c r="E1913" s="50"/>
      <c r="F1913" s="50"/>
    </row>
    <row r="1914" spans="1:6" ht="15.75" thickBot="1">
      <c r="A1914" s="41" t="s">
        <v>43</v>
      </c>
      <c r="B1914" s="41" t="s">
        <v>44</v>
      </c>
      <c r="C1914" s="41" t="s">
        <v>45</v>
      </c>
      <c r="D1914" s="41" t="s">
        <v>46</v>
      </c>
      <c r="E1914" s="41" t="s">
        <v>47</v>
      </c>
      <c r="F1914" s="41" t="s">
        <v>48</v>
      </c>
    </row>
    <row r="1915" spans="1:6" ht="22.5">
      <c r="A1915" s="52">
        <v>82101602</v>
      </c>
      <c r="B1915" s="43" t="str">
        <f ca="1">IFERROR(INDEX(UNSPSCDes,MATCH(INDIRECT(ADDRESS(ROW(),COLUMN()-1,4)),UNSPSCCode,0)),"")</f>
        <v>Publicidad en televisión</v>
      </c>
      <c r="C1915" s="42" t="s">
        <v>252</v>
      </c>
      <c r="D1915" s="42">
        <v>8</v>
      </c>
      <c r="E1915" s="45">
        <v>33040</v>
      </c>
      <c r="F1915" s="46">
        <f ca="1">INDIRECT(ADDRESS(ROW(),COLUMN()-2,4))*INDIRECT(ADDRESS(ROW(),COLUMN()-1,4))</f>
        <v>264320</v>
      </c>
    </row>
    <row r="1916" spans="1:6">
      <c r="A1916" s="50"/>
      <c r="B1916" s="50"/>
      <c r="C1916" s="50"/>
      <c r="D1916" s="50"/>
      <c r="E1916" s="51" t="s">
        <v>50</v>
      </c>
      <c r="F1916" s="48">
        <f ca="1">SUM(Table3155[MONTO TOTAL ESTIMADO])</f>
        <v>264320</v>
      </c>
    </row>
    <row r="1917" spans="1:6" ht="17.25" thickBot="1">
      <c r="A1917" s="36"/>
      <c r="B1917" s="36"/>
      <c r="C1917" s="36"/>
      <c r="D1917" s="36"/>
      <c r="E1917" s="36"/>
      <c r="F1917" s="36"/>
    </row>
    <row r="1918" spans="1:6" ht="34.5" thickBot="1">
      <c r="A1918" s="1" t="s">
        <v>0</v>
      </c>
      <c r="B1918" s="1" t="s">
        <v>1</v>
      </c>
      <c r="C1918" s="1" t="s">
        <v>2</v>
      </c>
      <c r="D1918" s="1" t="s">
        <v>3</v>
      </c>
      <c r="E1918" s="1" t="s">
        <v>4</v>
      </c>
      <c r="F1918" s="1" t="s">
        <v>5</v>
      </c>
    </row>
    <row r="1919" spans="1:6" ht="15.75" thickBot="1">
      <c r="A1919" s="2" t="s">
        <v>6</v>
      </c>
      <c r="B1919" s="2" t="s">
        <v>335</v>
      </c>
      <c r="C1919" s="2" t="s">
        <v>8</v>
      </c>
      <c r="D1919" s="2" t="s">
        <v>9</v>
      </c>
      <c r="E1919" s="2" t="s">
        <v>10</v>
      </c>
      <c r="F1919" s="2"/>
    </row>
    <row r="1920" spans="1:6" ht="15.75" thickBot="1">
      <c r="A1920" s="3" t="s">
        <v>11</v>
      </c>
      <c r="B1920" s="4" t="s">
        <v>12</v>
      </c>
      <c r="C1920" s="5">
        <v>43435</v>
      </c>
      <c r="D1920" s="3" t="s">
        <v>13</v>
      </c>
      <c r="E1920" s="4" t="s">
        <v>14</v>
      </c>
      <c r="F1920" s="2"/>
    </row>
    <row r="1921" spans="1:6" ht="15.75" thickBot="1">
      <c r="A1921" s="6"/>
      <c r="B1921" s="4" t="s">
        <v>15</v>
      </c>
      <c r="C1921" s="7">
        <f>IF(C1920="","",IF(AND(MONTH(C1920)&gt;=1,MONTH(C1920)&lt;=3),1,IF(AND(MONTH(C1920)&gt;=4,MONTH(C1920)&lt;=6),2,IF(AND(MONTH(C1920)&gt;=7,MONTH(C1920)&lt;=9),3,4))))</f>
        <v>4</v>
      </c>
      <c r="D1921" s="6"/>
      <c r="E1921" s="4" t="s">
        <v>16</v>
      </c>
      <c r="F1921" s="2"/>
    </row>
    <row r="1922" spans="1:6" ht="15.75" thickBot="1">
      <c r="A1922" s="6"/>
      <c r="B1922" s="4" t="s">
        <v>17</v>
      </c>
      <c r="C1922" s="5">
        <v>43456</v>
      </c>
      <c r="D1922" s="6"/>
      <c r="E1922" s="4" t="s">
        <v>18</v>
      </c>
      <c r="F1922" s="2"/>
    </row>
    <row r="1923" spans="1:6" ht="15.75" thickBot="1">
      <c r="A1923" s="6"/>
      <c r="B1923" s="4" t="s">
        <v>15</v>
      </c>
      <c r="C1923" s="7">
        <f>IF(C1922="","",IF(AND(MONTH(C1922)&gt;=1,MONTH(C1922)&lt;=3),1,IF(AND(MONTH(C1922)&gt;=4,MONTH(C1922)&lt;=6),2,IF(AND(MONTH(C1922)&gt;=7,MONTH(C1922)&lt;=9),3,4))))</f>
        <v>4</v>
      </c>
      <c r="D1923" s="6"/>
      <c r="E1923" s="4" t="s">
        <v>19</v>
      </c>
      <c r="F1923" s="2"/>
    </row>
    <row r="1924" spans="1:6" ht="15.75" thickBot="1">
      <c r="A1924" s="50"/>
      <c r="B1924" s="50"/>
      <c r="C1924" s="50"/>
      <c r="D1924" s="50"/>
      <c r="E1924" s="50"/>
      <c r="F1924" s="50"/>
    </row>
    <row r="1925" spans="1:6" ht="15.75" thickBot="1">
      <c r="A1925" s="41" t="s">
        <v>43</v>
      </c>
      <c r="B1925" s="41" t="s">
        <v>44</v>
      </c>
      <c r="C1925" s="41" t="s">
        <v>45</v>
      </c>
      <c r="D1925" s="41" t="s">
        <v>46</v>
      </c>
      <c r="E1925" s="41" t="s">
        <v>47</v>
      </c>
      <c r="F1925" s="41" t="s">
        <v>48</v>
      </c>
    </row>
    <row r="1926" spans="1:6" ht="22.5">
      <c r="A1926" s="52">
        <v>82101602</v>
      </c>
      <c r="B1926" s="43" t="str">
        <f ca="1">IFERROR(INDEX(UNSPSCDes,MATCH(INDIRECT(ADDRESS(ROW(),COLUMN()-1,4)),UNSPSCCode,0)),"")</f>
        <v>Publicidad en televisión</v>
      </c>
      <c r="C1926" s="42" t="s">
        <v>252</v>
      </c>
      <c r="D1926" s="42">
        <v>22</v>
      </c>
      <c r="E1926" s="45">
        <v>5900</v>
      </c>
      <c r="F1926" s="46">
        <f ca="1">INDIRECT(ADDRESS(ROW(),COLUMN()-2,4))*INDIRECT(ADDRESS(ROW(),COLUMN()-1,4))</f>
        <v>129800</v>
      </c>
    </row>
    <row r="1927" spans="1:6">
      <c r="A1927" s="50"/>
      <c r="B1927" s="50"/>
      <c r="C1927" s="50"/>
      <c r="D1927" s="50"/>
      <c r="E1927" s="51" t="s">
        <v>50</v>
      </c>
      <c r="F1927" s="48">
        <f ca="1">SUM(Table3156[MONTO TOTAL ESTIMADO])</f>
        <v>129800</v>
      </c>
    </row>
    <row r="1928" spans="1:6" ht="17.25" thickBot="1">
      <c r="A1928" s="36"/>
      <c r="B1928" s="36"/>
      <c r="C1928" s="36"/>
      <c r="D1928" s="36"/>
      <c r="E1928" s="36"/>
      <c r="F1928" s="36"/>
    </row>
    <row r="1929" spans="1:6" ht="34.5" thickBot="1">
      <c r="A1929" s="1" t="s">
        <v>0</v>
      </c>
      <c r="B1929" s="1" t="s">
        <v>1</v>
      </c>
      <c r="C1929" s="1" t="s">
        <v>2</v>
      </c>
      <c r="D1929" s="1" t="s">
        <v>3</v>
      </c>
      <c r="E1929" s="1" t="s">
        <v>4</v>
      </c>
      <c r="F1929" s="1" t="s">
        <v>5</v>
      </c>
    </row>
    <row r="1930" spans="1:6" ht="15.75" thickBot="1">
      <c r="A1930" s="2" t="s">
        <v>6</v>
      </c>
      <c r="B1930" s="2" t="s">
        <v>336</v>
      </c>
      <c r="C1930" s="2" t="s">
        <v>8</v>
      </c>
      <c r="D1930" s="2" t="s">
        <v>9</v>
      </c>
      <c r="E1930" s="2" t="s">
        <v>10</v>
      </c>
      <c r="F1930" s="2"/>
    </row>
    <row r="1931" spans="1:6" ht="15.75" thickBot="1">
      <c r="A1931" s="3" t="s">
        <v>11</v>
      </c>
      <c r="B1931" s="4" t="s">
        <v>12</v>
      </c>
      <c r="C1931" s="5">
        <v>43435</v>
      </c>
      <c r="D1931" s="3" t="s">
        <v>13</v>
      </c>
      <c r="E1931" s="4" t="s">
        <v>14</v>
      </c>
      <c r="F1931" s="2"/>
    </row>
    <row r="1932" spans="1:6" ht="15.75" thickBot="1">
      <c r="A1932" s="6"/>
      <c r="B1932" s="4" t="s">
        <v>15</v>
      </c>
      <c r="C1932" s="7">
        <f>IF(C1931="","",IF(AND(MONTH(C1931)&gt;=1,MONTH(C1931)&lt;=3),1,IF(AND(MONTH(C1931)&gt;=4,MONTH(C1931)&lt;=6),2,IF(AND(MONTH(C1931)&gt;=7,MONTH(C1931)&lt;=9),3,4))))</f>
        <v>4</v>
      </c>
      <c r="D1932" s="6"/>
      <c r="E1932" s="4" t="s">
        <v>16</v>
      </c>
      <c r="F1932" s="2"/>
    </row>
    <row r="1933" spans="1:6" ht="15.75" thickBot="1">
      <c r="A1933" s="6"/>
      <c r="B1933" s="4" t="s">
        <v>17</v>
      </c>
      <c r="C1933" s="5">
        <v>43456</v>
      </c>
      <c r="D1933" s="6"/>
      <c r="E1933" s="4" t="s">
        <v>18</v>
      </c>
      <c r="F1933" s="2"/>
    </row>
    <row r="1934" spans="1:6" ht="15.75" thickBot="1">
      <c r="A1934" s="6"/>
      <c r="B1934" s="4" t="s">
        <v>15</v>
      </c>
      <c r="C1934" s="7">
        <f>IF(C1933="","",IF(AND(MONTH(C1933)&gt;=1,MONTH(C1933)&lt;=3),1,IF(AND(MONTH(C1933)&gt;=4,MONTH(C1933)&lt;=6),2,IF(AND(MONTH(C1933)&gt;=7,MONTH(C1933)&lt;=9),3,4))))</f>
        <v>4</v>
      </c>
      <c r="D1934" s="6"/>
      <c r="E1934" s="4" t="s">
        <v>19</v>
      </c>
      <c r="F1934" s="2"/>
    </row>
    <row r="1935" spans="1:6" ht="15.75" thickBot="1">
      <c r="A1935" s="50"/>
      <c r="B1935" s="50"/>
      <c r="C1935" s="50"/>
      <c r="D1935" s="50"/>
      <c r="E1935" s="50"/>
      <c r="F1935" s="50"/>
    </row>
    <row r="1936" spans="1:6" ht="15.75" thickBot="1">
      <c r="A1936" s="41" t="s">
        <v>43</v>
      </c>
      <c r="B1936" s="41" t="s">
        <v>44</v>
      </c>
      <c r="C1936" s="41" t="s">
        <v>45</v>
      </c>
      <c r="D1936" s="41" t="s">
        <v>46</v>
      </c>
      <c r="E1936" s="41" t="s">
        <v>47</v>
      </c>
      <c r="F1936" s="41" t="s">
        <v>48</v>
      </c>
    </row>
    <row r="1937" spans="1:6" ht="22.5">
      <c r="A1937" s="52">
        <v>82101602</v>
      </c>
      <c r="B1937" s="43" t="str">
        <f ca="1">IFERROR(INDEX(UNSPSCDes,MATCH(INDIRECT(ADDRESS(ROW(),COLUMN()-1,4)),UNSPSCCode,0)),"")</f>
        <v>Publicidad en televisión</v>
      </c>
      <c r="C1937" s="42" t="s">
        <v>252</v>
      </c>
      <c r="D1937" s="42">
        <v>44</v>
      </c>
      <c r="E1937" s="45">
        <v>4720</v>
      </c>
      <c r="F1937" s="46">
        <f ca="1">INDIRECT(ADDRESS(ROW(),COLUMN()-2,4))*INDIRECT(ADDRESS(ROW(),COLUMN()-1,4))</f>
        <v>207680</v>
      </c>
    </row>
    <row r="1938" spans="1:6">
      <c r="A1938" s="50"/>
      <c r="B1938" s="50"/>
      <c r="C1938" s="50"/>
      <c r="D1938" s="50"/>
      <c r="E1938" s="51" t="s">
        <v>50</v>
      </c>
      <c r="F1938" s="48">
        <f ca="1">SUM(Table3157[MONTO TOTAL ESTIMADO])</f>
        <v>207680</v>
      </c>
    </row>
  </sheetData>
  <protectedRanges>
    <protectedRange sqref="F5" name="Rango3"/>
    <protectedRange sqref="E11:E12" name="Rango2"/>
  </protectedRanges>
  <mergeCells count="320">
    <mergeCell ref="A1920:A1923"/>
    <mergeCell ref="D1920:D1923"/>
    <mergeCell ref="A1931:A1934"/>
    <mergeCell ref="D1931:D1934"/>
    <mergeCell ref="A1887:A1890"/>
    <mergeCell ref="D1887:D1890"/>
    <mergeCell ref="A1898:A1901"/>
    <mergeCell ref="D1898:D1901"/>
    <mergeCell ref="A1909:A1912"/>
    <mergeCell ref="D1909:D1912"/>
    <mergeCell ref="A1854:A1857"/>
    <mergeCell ref="D1854:D1857"/>
    <mergeCell ref="A1865:A1868"/>
    <mergeCell ref="D1865:D1868"/>
    <mergeCell ref="A1876:A1879"/>
    <mergeCell ref="D1876:D1879"/>
    <mergeCell ref="A1821:A1824"/>
    <mergeCell ref="D1821:D1824"/>
    <mergeCell ref="A1832:A1835"/>
    <mergeCell ref="D1832:D1835"/>
    <mergeCell ref="A1843:A1846"/>
    <mergeCell ref="D1843:D1846"/>
    <mergeCell ref="A1788:A1791"/>
    <mergeCell ref="D1788:D1791"/>
    <mergeCell ref="A1799:A1802"/>
    <mergeCell ref="D1799:D1802"/>
    <mergeCell ref="A1810:A1813"/>
    <mergeCell ref="D1810:D1813"/>
    <mergeCell ref="A1755:A1758"/>
    <mergeCell ref="D1755:D1758"/>
    <mergeCell ref="A1766:A1769"/>
    <mergeCell ref="D1766:D1769"/>
    <mergeCell ref="A1777:A1780"/>
    <mergeCell ref="D1777:D1780"/>
    <mergeCell ref="A1721:A1724"/>
    <mergeCell ref="D1721:D1724"/>
    <mergeCell ref="A1732:A1735"/>
    <mergeCell ref="D1732:D1735"/>
    <mergeCell ref="A1744:A1747"/>
    <mergeCell ref="D1744:D1747"/>
    <mergeCell ref="A1688:A1691"/>
    <mergeCell ref="D1688:D1691"/>
    <mergeCell ref="A1699:A1702"/>
    <mergeCell ref="D1699:D1702"/>
    <mergeCell ref="A1710:A1713"/>
    <mergeCell ref="D1710:D1713"/>
    <mergeCell ref="A1655:A1658"/>
    <mergeCell ref="D1655:D1658"/>
    <mergeCell ref="A1666:A1669"/>
    <mergeCell ref="D1666:D1669"/>
    <mergeCell ref="A1677:A1680"/>
    <mergeCell ref="D1677:D1680"/>
    <mergeCell ref="A1622:A1625"/>
    <mergeCell ref="D1622:D1625"/>
    <mergeCell ref="A1633:A1636"/>
    <mergeCell ref="D1633:D1636"/>
    <mergeCell ref="A1644:A1647"/>
    <mergeCell ref="D1644:D1647"/>
    <mergeCell ref="A1583:A1586"/>
    <mergeCell ref="D1583:D1586"/>
    <mergeCell ref="A1595:A1598"/>
    <mergeCell ref="D1595:D1598"/>
    <mergeCell ref="A1609:A1612"/>
    <mergeCell ref="D1609:D1612"/>
    <mergeCell ref="A1523:A1526"/>
    <mergeCell ref="D1523:D1526"/>
    <mergeCell ref="A1549:A1552"/>
    <mergeCell ref="D1549:D1552"/>
    <mergeCell ref="A1569:A1572"/>
    <mergeCell ref="D1569:D1572"/>
    <mergeCell ref="A1482:A1485"/>
    <mergeCell ref="D1482:D1485"/>
    <mergeCell ref="A1501:A1504"/>
    <mergeCell ref="D1501:D1504"/>
    <mergeCell ref="A1512:A1515"/>
    <mergeCell ref="D1512:D1515"/>
    <mergeCell ref="A1441:A1444"/>
    <mergeCell ref="D1441:D1444"/>
    <mergeCell ref="A1457:A1460"/>
    <mergeCell ref="D1457:D1460"/>
    <mergeCell ref="A1470:A1473"/>
    <mergeCell ref="D1470:D1473"/>
    <mergeCell ref="A1389:A1392"/>
    <mergeCell ref="D1389:D1392"/>
    <mergeCell ref="A1415:A1418"/>
    <mergeCell ref="D1415:D1418"/>
    <mergeCell ref="A1427:A1430"/>
    <mergeCell ref="D1427:D1430"/>
    <mergeCell ref="A1356:A1359"/>
    <mergeCell ref="D1356:D1359"/>
    <mergeCell ref="A1367:A1370"/>
    <mergeCell ref="D1367:D1370"/>
    <mergeCell ref="A1378:A1381"/>
    <mergeCell ref="D1378:D1381"/>
    <mergeCell ref="A1310:A1313"/>
    <mergeCell ref="D1310:D1313"/>
    <mergeCell ref="A1333:A1336"/>
    <mergeCell ref="D1333:D1336"/>
    <mergeCell ref="A1344:A1347"/>
    <mergeCell ref="D1344:D1347"/>
    <mergeCell ref="A1277:A1280"/>
    <mergeCell ref="D1277:D1280"/>
    <mergeCell ref="A1288:A1291"/>
    <mergeCell ref="D1288:D1291"/>
    <mergeCell ref="A1299:A1302"/>
    <mergeCell ref="D1299:D1302"/>
    <mergeCell ref="A1244:A1247"/>
    <mergeCell ref="D1244:D1247"/>
    <mergeCell ref="A1255:A1258"/>
    <mergeCell ref="D1255:D1258"/>
    <mergeCell ref="A1266:A1269"/>
    <mergeCell ref="D1266:D1269"/>
    <mergeCell ref="A1199:A1202"/>
    <mergeCell ref="D1199:D1202"/>
    <mergeCell ref="A1216:A1219"/>
    <mergeCell ref="D1216:D1219"/>
    <mergeCell ref="A1230:A1233"/>
    <mergeCell ref="D1230:D1233"/>
    <mergeCell ref="A1138:A1141"/>
    <mergeCell ref="D1138:D1141"/>
    <mergeCell ref="A1151:A1154"/>
    <mergeCell ref="D1151:D1154"/>
    <mergeCell ref="A1174:A1177"/>
    <mergeCell ref="D1174:D1177"/>
    <mergeCell ref="A1100:A1103"/>
    <mergeCell ref="D1100:D1103"/>
    <mergeCell ref="A1115:A1118"/>
    <mergeCell ref="D1115:D1118"/>
    <mergeCell ref="A1126:A1129"/>
    <mergeCell ref="D1126:D1129"/>
    <mergeCell ref="A1067:A1070"/>
    <mergeCell ref="D1067:D1070"/>
    <mergeCell ref="A1078:A1081"/>
    <mergeCell ref="D1078:D1081"/>
    <mergeCell ref="A1089:A1092"/>
    <mergeCell ref="D1089:D1092"/>
    <mergeCell ref="A1034:A1037"/>
    <mergeCell ref="D1034:D1037"/>
    <mergeCell ref="A1045:A1048"/>
    <mergeCell ref="D1045:D1048"/>
    <mergeCell ref="A1056:A1059"/>
    <mergeCell ref="D1056:D1059"/>
    <mergeCell ref="A1001:A1004"/>
    <mergeCell ref="D1001:D1004"/>
    <mergeCell ref="A1012:A1015"/>
    <mergeCell ref="D1012:D1015"/>
    <mergeCell ref="A1023:A1026"/>
    <mergeCell ref="D1023:D1026"/>
    <mergeCell ref="A968:A971"/>
    <mergeCell ref="D968:D971"/>
    <mergeCell ref="A979:A982"/>
    <mergeCell ref="D979:D982"/>
    <mergeCell ref="A990:A993"/>
    <mergeCell ref="D990:D993"/>
    <mergeCell ref="A935:A938"/>
    <mergeCell ref="D935:D938"/>
    <mergeCell ref="A946:A949"/>
    <mergeCell ref="D946:D949"/>
    <mergeCell ref="A957:A960"/>
    <mergeCell ref="D957:D960"/>
    <mergeCell ref="A902:A905"/>
    <mergeCell ref="D902:D905"/>
    <mergeCell ref="A913:A916"/>
    <mergeCell ref="D913:D916"/>
    <mergeCell ref="A924:A927"/>
    <mergeCell ref="D924:D927"/>
    <mergeCell ref="A869:A872"/>
    <mergeCell ref="D869:D872"/>
    <mergeCell ref="A880:A883"/>
    <mergeCell ref="D880:D883"/>
    <mergeCell ref="A891:A894"/>
    <mergeCell ref="D891:D894"/>
    <mergeCell ref="A836:A839"/>
    <mergeCell ref="D836:D839"/>
    <mergeCell ref="A847:A850"/>
    <mergeCell ref="D847:D850"/>
    <mergeCell ref="A858:A861"/>
    <mergeCell ref="D858:D861"/>
    <mergeCell ref="A803:A806"/>
    <mergeCell ref="D803:D806"/>
    <mergeCell ref="A814:A817"/>
    <mergeCell ref="D814:D817"/>
    <mergeCell ref="A825:A828"/>
    <mergeCell ref="D825:D828"/>
    <mergeCell ref="A770:A773"/>
    <mergeCell ref="D770:D773"/>
    <mergeCell ref="A781:A784"/>
    <mergeCell ref="D781:D784"/>
    <mergeCell ref="A792:A795"/>
    <mergeCell ref="D792:D795"/>
    <mergeCell ref="A737:A740"/>
    <mergeCell ref="D737:D740"/>
    <mergeCell ref="A748:A751"/>
    <mergeCell ref="D748:D751"/>
    <mergeCell ref="A759:A762"/>
    <mergeCell ref="D759:D762"/>
    <mergeCell ref="A703:A706"/>
    <mergeCell ref="D703:D706"/>
    <mergeCell ref="A714:A717"/>
    <mergeCell ref="D714:D717"/>
    <mergeCell ref="A725:A728"/>
    <mergeCell ref="D725:D728"/>
    <mergeCell ref="A670:A673"/>
    <mergeCell ref="D670:D673"/>
    <mergeCell ref="A681:A684"/>
    <mergeCell ref="D681:D684"/>
    <mergeCell ref="A692:A695"/>
    <mergeCell ref="D692:D695"/>
    <mergeCell ref="A637:A640"/>
    <mergeCell ref="D637:D640"/>
    <mergeCell ref="A648:A651"/>
    <mergeCell ref="D648:D651"/>
    <mergeCell ref="A659:A662"/>
    <mergeCell ref="D659:D662"/>
    <mergeCell ref="A604:A607"/>
    <mergeCell ref="D604:D607"/>
    <mergeCell ref="A615:A618"/>
    <mergeCell ref="D615:D618"/>
    <mergeCell ref="A626:A629"/>
    <mergeCell ref="D626:D629"/>
    <mergeCell ref="A571:A574"/>
    <mergeCell ref="D571:D574"/>
    <mergeCell ref="A582:A585"/>
    <mergeCell ref="D582:D585"/>
    <mergeCell ref="A593:A596"/>
    <mergeCell ref="D593:D596"/>
    <mergeCell ref="A538:A541"/>
    <mergeCell ref="D538:D541"/>
    <mergeCell ref="A549:A552"/>
    <mergeCell ref="D549:D552"/>
    <mergeCell ref="A560:A563"/>
    <mergeCell ref="D560:D563"/>
    <mergeCell ref="A500:A503"/>
    <mergeCell ref="D500:D503"/>
    <mergeCell ref="A516:A519"/>
    <mergeCell ref="D516:D519"/>
    <mergeCell ref="A527:A530"/>
    <mergeCell ref="D527:D530"/>
    <mergeCell ref="A467:A470"/>
    <mergeCell ref="D467:D470"/>
    <mergeCell ref="A478:A481"/>
    <mergeCell ref="D478:D481"/>
    <mergeCell ref="A489:A492"/>
    <mergeCell ref="D489:D492"/>
    <mergeCell ref="A432:A435"/>
    <mergeCell ref="D432:D435"/>
    <mergeCell ref="A443:A446"/>
    <mergeCell ref="D443:D446"/>
    <mergeCell ref="A456:A459"/>
    <mergeCell ref="D456:D459"/>
    <mergeCell ref="A392:A395"/>
    <mergeCell ref="D392:D395"/>
    <mergeCell ref="A405:A408"/>
    <mergeCell ref="D405:D408"/>
    <mergeCell ref="A418:A421"/>
    <mergeCell ref="D418:D421"/>
    <mergeCell ref="A356:A359"/>
    <mergeCell ref="D356:D359"/>
    <mergeCell ref="A367:A370"/>
    <mergeCell ref="D367:D370"/>
    <mergeCell ref="A378:A381"/>
    <mergeCell ref="D378:D381"/>
    <mergeCell ref="A323:A326"/>
    <mergeCell ref="D323:D326"/>
    <mergeCell ref="A334:A337"/>
    <mergeCell ref="D334:D337"/>
    <mergeCell ref="A345:A348"/>
    <mergeCell ref="D345:D348"/>
    <mergeCell ref="A261:A264"/>
    <mergeCell ref="D261:D264"/>
    <mergeCell ref="A272:A275"/>
    <mergeCell ref="D272:D275"/>
    <mergeCell ref="A287:A290"/>
    <mergeCell ref="D287:D290"/>
    <mergeCell ref="A228:A231"/>
    <mergeCell ref="D228:D231"/>
    <mergeCell ref="A239:A242"/>
    <mergeCell ref="D239:D242"/>
    <mergeCell ref="A250:A253"/>
    <mergeCell ref="D250:D253"/>
    <mergeCell ref="A195:A198"/>
    <mergeCell ref="D195:D198"/>
    <mergeCell ref="A206:A209"/>
    <mergeCell ref="D206:D209"/>
    <mergeCell ref="A217:A220"/>
    <mergeCell ref="D217:D220"/>
    <mergeCell ref="A156:A159"/>
    <mergeCell ref="D156:D159"/>
    <mergeCell ref="A170:A173"/>
    <mergeCell ref="D170:D173"/>
    <mergeCell ref="A184:A187"/>
    <mergeCell ref="D184:D187"/>
    <mergeCell ref="A112:A115"/>
    <mergeCell ref="D112:D115"/>
    <mergeCell ref="A128:A131"/>
    <mergeCell ref="D128:D131"/>
    <mergeCell ref="A142:A145"/>
    <mergeCell ref="D142:D145"/>
    <mergeCell ref="A70:A73"/>
    <mergeCell ref="D70:D73"/>
    <mergeCell ref="A84:A87"/>
    <mergeCell ref="D84:D87"/>
    <mergeCell ref="A98:A101"/>
    <mergeCell ref="D98:D101"/>
    <mergeCell ref="A17:A20"/>
    <mergeCell ref="D17:D20"/>
    <mergeCell ref="A31:A34"/>
    <mergeCell ref="D31:D34"/>
    <mergeCell ref="A56:A59"/>
    <mergeCell ref="D56:D59"/>
    <mergeCell ref="E7:F7"/>
    <mergeCell ref="E8:F8"/>
    <mergeCell ref="E9:F9"/>
    <mergeCell ref="E10:F10"/>
    <mergeCell ref="E11:F11"/>
    <mergeCell ref="E12:F12"/>
    <mergeCell ref="A1:A4"/>
    <mergeCell ref="B2:E2"/>
    <mergeCell ref="B3:E3"/>
    <mergeCell ref="E6:F6"/>
  </mergeCells>
  <dataValidations count="12">
    <dataValidation type="list" allowBlank="1" showInputMessage="1" showErrorMessage="1" sqref="F20 F1835 F1824 F1813 F1802 F1791 F1780 F1769 F1758 F1747 F1735 F1724 F1713 F1702 F1691 F1680 F1669 F1658 F1647 F1636 F1625 F1612 F1598 F1586 F1572 F1552 F1460 F1444 F1430 F1418 F1392 F1381 F1370 F1359 F1347 F1336 F1313 F1302 F1291 F1280 F1269 F1258 F1247 F1202 F1177 F1154 F1141 F1129 F1118 F1103 F1092 F1081 F1070 F1059 F1048 F1037 F1026 F1015 F1004 F993 F982 F971 F960 F949 F938 F927 F916 F905 F894 F883 F872 F861 F850 F839 F828 F817 F806 F795 F784 F773 F762 F751 F740 F728 F717 F706 F695 F684 F673 F662 F651 F640 F629 F618 F607 F596 F585 F574 F563 F552 F541 F530 F519 F503 F492 F481 F470 F459 F446 F435 F421 F408 F395 F381 F370 F359 F348 F337 F326 F290 F275 F264 F253 F242 F231 F220 F209 F198 F187 F173 F159 F145 F131 F115 F101 F87 F73 F59 F34 F1219 F1233 F1473 F1485 F1504 F1515 F1526 F1846 F1857 F1868 F1879 F1890 F1901 F1912 F1923 F1934">
      <formula1>OFFSET(MunicipioStart,MATCH(INDIRECT(ADDRESS(ROW()-1,COLUMN(),4)),MunicipioColumn,0)-1,1,COUNTIF(MunicipioColumn,INDIRECT(ADDRESS(ROW()-1,COLUMN(),4))),1)</formula1>
    </dataValidation>
    <dataValidation type="list" allowBlank="1" showInputMessage="1" showErrorMessage="1" sqref="F19 F1834 F1823 F1812 F1801 F1790 F1779 F1768 F1757 F1746 F1734 F1723 F1712 F1701 F1690 F1679 F1668 F1657 F1646 F1635 F1624 F1611 F1597 F1585 F1571 F1551 F1459 F1443 F1429 F1417 F1391 F1380 F1369 F1358 F1346 F1335 F1312 F1301 F1290 F1279 F1268 F1257 F1246 F1201 F1176 F1153 F1140 F1128 F1117 F1102 F1091 F1080 F1069 F1058 F1047 F1036 F1025 F1014 F1003 F992 F981 F970 F959 F948 F937 F926 F915 F904 F893 F882 F871 F860 F849 F838 F827 F816 F805 F794 F783 F772 F761 F750 F739 F727 F716 F705 F694 F683 F672 F661 F650 F639 F628 F617 F606 F595 F584 F573 F562 F551 F540 F529 F518 F502 F491 F480 F469 F458 F445 F434 F420 F407 F394 F380 F369 F358 F347 F336 F325 F289 F274 F263 F252 F241 F230 F219 F208 F197 F186 F172 F158 F144 F130 F114 F100 F86 F72 F58 F33 F1218 F1232 F1472 F1484 F1503 F1514 F1525 F1845 F1856 F1867 F1878 F1889 F1900 F1911 F1922 F1933">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1833 F1822 F1811 F1800 F1789 F1778 F1767 F1756 F1745 F1733 F1722 F1711 F1700 F1689 F1678 F1667 F1656 F1645 F1634 F1623 F1610 F1596 F1584 F1570 F1550 F1458 F1442 F1428 F1416 F1390 F1379 F1368 F1357 F1345 F1334 F1311 F1300 F1289 F1278 F1267 F1256 F1245 F1200 F1175 F1152 F1139 F1127 F1116 F1101 F1090 F1079 F1068 F1057 F1046 F1035 F1024 F1013 F1002 F991 F980 F969 F958 F947 F936 F925 F914 F903 F892 F881 F870 F859 F848 F837 F826 F815 F804 F793 F782 F771 F760 F749 F738 F726 F715 F704 F693 F682 F671 F660 F649 F638 F627 F616 F605 F594 F583 F572 F561 F550 F539 F528 F517 F501 F490 F479 F468 F457 F444 F433 F419 F406 F393 F379 F368 F357 F346 F335 F324 F288 F273 F262 F251 F240 F229 F218 F207 F196 F185 F171 F157 F143 F129 F113 F99 F85 F71 F57 F32 F1217 F1231 F1471 F1483 F1502 F1513 F1524 F1844 F1855 F1866 F1877 F1888 F1899 F1910 F1921 F1932">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1832 F1821 F1810 F1799 F1788 F1777 F1766 F1755 F1744 F1732 F1721 F1710 F1699 F1688 F1677 F1666 F1655 F1644 F1633 F1622 F1609 F1595 F1583 F1569 F1549 F1457 F1441 F1427 F1415 F1389 F1378 F1367 F1356 F1344 F1333 F1310 F1299 F1288 F1277 F1266 F1255 F1244 F1199 F1174 F1151 F1138 F1126 F1115 F1100 F1089 F1078 F1067 F1056 F1045 F1034 F1023 F1012 F1001 F990 F979 F968 F957 F946 F935 F924 F913 F902 F891 F880 F869 F858 F847 F836 F825 F814 F803 F792 F781 F770 F759 F748 F737 F725 F714 F703 F692 F681 F670 F659 F648 F637 F626 F615 F604 F593 F582 F571 F560 F549 F538 F527 F516 F500 F489 F478 F467 F456 F443 F432 F418 F405 F392 F378 F367 F356 F345 F334 F323 F287 F272 F261 F250 F239 F228 F217 F206 F195 F184 F170 F156 F142 F128 F112 F98 F84 F70 F56 F31 F1216 F1230 F1470 F1482 F1501 F1512 F1523 F1843 F1854 F1865 F1876 F1887 F1898 F1909 F1920 F1931">
      <formula1>IF(INDIRECT(ADDRESS(ROW()+1,COLUMN(),4))="",RegionList,INDEX(RegionColumn,MATCH(INDIRECT(ADDRESS(ROW()+1,COLUMN(),4)),ProvinciaList,0)))</formula1>
    </dataValidation>
    <dataValidation type="date" operator="greaterThanOrEqual" allowBlank="1" showInputMessage="1" showErrorMessage="1" sqref="C19 C1201 C1176 C1153 C1140 C1128 C1117 C1102 C1091 C1080 C1069 C1058 C1047 C1036 C1025 C1014 C1003 C992 C981 C970 C959 C948 C937 C926 C915 C904 C893 C882 C871 C860 C849 C838 C827 C816 C805 C794 C783 C772 C761 C750 C739 C727 C716 C705 C694 C683 C672 C661 C650 C639 C628 C617 C606 C595 C584 C573 C562 C551 C540 C529 C518 C502 C491 C480 C469 C458 C445 C434 C420 C407 C394 C380 C369 C358 C347 C336 C325 C289 C274 C263 C252 C241 C230 C219 C208 C197 C186 C172 C158 C144 C130 C114 C100 C86 C72 C58 C33 C1218 C1232 C1246 C1257 C1268 C1279 C1290 C1301 C1312 C1335 C1346 C1358 C1369 C1380 C1391 C1417 C1429 C1443 C1459 C1472 C1484 C1503 C1514 C1525 C1551 C1571 C1585 C1597 C1611 C1624 C1635 C1646 C1657 C1668 C1679 C1690 C1701 C1712 C1723 C1734 C1746 C1757 C1768 C1779 C1790 C1801 C1812 C1823 C1834 C1845 C1856 C1867 C1878 C1889 C1900 C1911 C1922 C1933">
      <formula1>C17</formula1>
    </dataValidation>
    <dataValidation type="date" operator="lessThanOrEqual" allowBlank="1" showInputMessage="1" showErrorMessage="1" sqref="C17 C1199 C1174 C1151 C1138 C1126 C1115 C1100 C1089 C1078 C1067 C1056 C1045 C1034 C1023 C1012 C1001 C990 C979 C968 C957 C946 C935 C924 C913 C902 C891 C880 C869 C858 C847 C836 C825 C814 C803 C792 C781 C770 C759 C748 C737 C725 C714 C703 C692 C681 C670 C659 C648 C637 C626 C615 C604 C593 C582 C571 C560 C549 C538 C527 C516 C500 C489 C478 C467 C456 C443 C432 C418 C405 C392 C378 C367 C356 C345 C334 C323 C287 C272 C261 C250 C239 C228 C217 C206 C195 C184 C170 C156 C142 C128 C112 C98 C84 C70 C56 C31 C1216 C1230 C1244 C1255 C1266 C1277 C1288 C1299 C1310 C1333 C1344 C1356 C1367 C1378 C1389 C1415 C1427 C1441 C1457 C1470 C1482 C1501 C1512 C1523 C1549 C1569 C1583 C1595 C1609 C1622 C1633 C1644 C1655 C1666 C1677 C1688 C1699 C1710 C1721 C1732 C1744 C1755 C1766 C1777 C1788 C1799 C1810 C1821 C1832 C1843 C1854 C1865 C1876 C1887 C1898 C1909 C1920 C1931">
      <formula1>C19</formula1>
    </dataValidation>
    <dataValidation type="decimal" operator="greaterThan" allowBlank="1" showInputMessage="1" showErrorMessage="1" sqref="D1205:E1211 D1838:E1838 D1827:E1827 D1816:E1816 D1805:E1805 D1794:E1794 D1783:E1783 D1350:E1351 D1738:E1739 D1750:E1750 D1761:E1761 D1727:E1727 D1716:E1716 D1705:E1705 D1694:E1694 D1683:E1683 D1672:E1672 D1661:E1661 D1650:E1650 D1639:E1639 D1628:E1628 D1615:E1617 D1601:E1604 D1589:E1590 D1575:E1578 D1555:E1564 D1529:E1544 D1447:E1452 D1433:E1436 D1421:E1422 D1395:E1410 D1384:E1384 D1373:E1373 D1362:E1362 D1772:E1772 D1339:E1339 D1316:E1328 D1305:E1305 D1294:E1294 D1283:E1283 D1272:E1272 D1261:E1261 D1250:E1250 D1236:E1239 D1157:E1169 D1144:E1146 D1132:E1133 D1121:E1121 D1106:E1110 D1095:E1095 D1084:E1084 D1073:E1073 D1062:E1062 D1051:E1051 D1040:E1040 D1029:E1029 D1018:E1018 D1007:E1007 D996:E996 D985:E985 D974:E974 D963:E963 D952:E952 D941:E941 D930:E930 D919:E919 D908:E908 D897:E897 D886:E886 D875:E875 D864:E864 D853:E853 D842:E842 D831:E831 D820:E820 D809:E809 D798:E798 D787:E787 D776:E776 D765:E765 D754:E754 D743:E743 D1518:E1518 D720:E720 D709:E709 D698:E698 D687:E687 D676:E676 D665:E665 D654:E654 D643:E643 D632:E632 D621:E621 D610:E610 D599:E599 D588:E588 D577:E577 D566:E566 D555:E555 D544:E544 D533:E533 D522:E522 D506:E511 D495:E495 D484:E484 D473:E473 D462:E462 D449:E451 D438:E438 D424:E427 D411:E413 D398:E400 D384:E387 D373:E373 D362:E362 D351:E351 D340:E340 D329:E329 D293:E318 D278:E282 D267:E267 D256:E256 D245:E245 D234:E234 D223:E223 D212:E212 D201:E201 D190:E190 D176:E179 D162:E165 D148:E151 D134:E137 D118:E123 D104:E107 D90:E93 D76:E79 D62:E65 D37:E51 D23:E26 D1222:E1225 D1463:E1465 D1476:E1477 D1507:E1507 D1488:E1496 D731:E732 D1180:E1194 D1849:E1849 D1860:E1860 D1871:E1871 D1882:E1882 D1893:E1893 D1904:E1904 D1915:E1915 D1926:E1926 D1937:E1937">
      <formula1>0</formula1>
    </dataValidation>
    <dataValidation type="list" allowBlank="1" showInputMessage="1" showErrorMessage="1" sqref="C1205:C1211 C1838 C1827 C1816 C1805 C1794 C1783 C1350:C1351 C1738:C1739 C1750 C1761 C1727 C1716 C1705 C1694 C1683 C1672 C1661 C1650 C1639 C1628 C1615:C1617 C1601:C1604 C1589:C1590 C1575:C1578 C1555:C1564 C1529:C1544 C1447:C1452 C1433:C1436 C1421:C1422 C1395:C1410 C1384 C1373 C1362 C1772 C1339 C1316:C1328 C1305 C1294 C1283 C1272 C1261 C1250 C1236:C1239 C1157:C1169 C1144:C1146 C1132:C1133 C1121 C1106:C1110 C1095 C1084 C1073 C1062 C1051 C1040 C1029 C1018 C1007 C996 C985 C974 C963 C952 C941 C930 C919 C908 C897 C886 C875 C864 C853 C842 C831 C820 C809 C798 C787 C776 C765 C754 C743 C1518 C720 C709 C698 C687 C676 C665 C654 C643 C632 C621 C610 C599 C588 C577 C566 C555 C544 C533 C522 C506:C511 C495 C484 C473 C462 C449:C451 C438 C424:C427 C411:C413 C398:C400 C384:C387 C373 C362 C351 C340 C329 C293:C318 C278:C282 C267 C256 C245 C234 C223 C212 C201 C190 C176:C179 C162:C165 C148:C151 C134:C137 C118:C123 C104:C107 C90:C93 C76:C79 C62:C65 C37:C51 C23:C26 C1222:C1225 C1463:C1465 C1476:C1477 C1507 C1488:C1496 C731:C732 C1180:C1194 C1849 C1860 C1871 C1882 C1893 C1904 C1915 C1926 C1937">
      <formula1>UnidadesList</formula1>
    </dataValidation>
    <dataValidation type="whole" operator="greaterThan" allowBlank="1" showInputMessage="1" showErrorMessage="1" sqref="A1205:A1211 A1838 A1827 A1816 A1805 A1794 A1783 A1350:A1351 A1738:A1739 A1750 A1761 A1727 A1716 A1705 A1694 A1683 A1672 A1661 A1650 A1639 A1628 A1615:A1617 A1601:A1604 A1589:A1590 A1575:A1578 A1555:A1564 A1529:A1544 A1447:A1452 A1433:A1436 A1421:A1422 A1395:A1410 A1384 A1373 A1362 A1772 A1339 A1316:A1328 A1305 A1294 A1283 A1272 A1261 A1250 A1236:A1239 A1157:A1169 A1144:A1146 A1132:A1133 A1121 A1106:A1110 A1095 A1084 A1073 A1062 A1051 A1040 A1029 A1018 A1007 A996 A985 A974 A963 A952 A941 A930 A919 A908 A897 A886 A875 A864 A853 A842 A831 A820 A809 A798 A787 A776 A765 A754 A743 A1518 A720 A709 A698 A687 A676 A665 A654 A643 A632 A621 A610 A599 A588 A577 A566 A555 A544 A533 A522 A506:A511 A495 A484 A473 A462 A449:A451 A438 A424:A427 A411:A413 A398:A400 A384:A387 A373 A362 A351 A340 A329 A293:A318 A278:A282 A267 A256 A245 A234 A223 A212 A201 A190 A176:A179 A162:A165 A148:A151 A134:A137 A118:A123 A104:A107 A90:A93 A76:A79 A62:A65 A37:A51 A23:A26 A1222:A1225 A1463:A1465 A1476:A1477 A1507 A1488:A1496 A731:A732 A1180:A1194 A1849 A1860 A1871 A1882 A1893 A1904 A1915 A1926 A1937">
      <formula1>0</formula1>
    </dataValidation>
    <dataValidation operator="greaterThan" allowBlank="1" showInputMessage="1" showErrorMessage="1" sqref="E10:F10"/>
    <dataValidation type="date" operator="greaterThan" allowBlank="1" showInputMessage="1" showErrorMessage="1" sqref="E12:F12">
      <formula1>36526</formula1>
    </dataValidation>
    <dataValidation type="whole" allowBlank="1" showInputMessage="1" showErrorMessage="1" sqref="E11:F11">
      <formula1>1900</formula1>
      <formula2>3000</formula2>
    </dataValidation>
  </dataValidations>
  <pageMargins left="0.7" right="0.7" top="0.75" bottom="0.75" header="0.3" footer="0.3"/>
  <drawing r:id="rId1"/>
  <legacyDrawing r:id="rId2"/>
  <tableParts count="15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 r:id="rId123"/>
    <tablePart r:id="rId124"/>
    <tablePart r:id="rId125"/>
    <tablePart r:id="rId126"/>
    <tablePart r:id="rId127"/>
    <tablePart r:id="rId128"/>
    <tablePart r:id="rId129"/>
    <tablePart r:id="rId130"/>
    <tablePart r:id="rId131"/>
    <tablePart r:id="rId132"/>
    <tablePart r:id="rId133"/>
    <tablePart r:id="rId134"/>
    <tablePart r:id="rId135"/>
    <tablePart r:id="rId136"/>
    <tablePart r:id="rId137"/>
    <tablePart r:id="rId138"/>
    <tablePart r:id="rId139"/>
    <tablePart r:id="rId140"/>
    <tablePart r:id="rId141"/>
    <tablePart r:id="rId142"/>
    <tablePart r:id="rId143"/>
    <tablePart r:id="rId144"/>
    <tablePart r:id="rId145"/>
    <tablePart r:id="rId146"/>
    <tablePart r:id="rId147"/>
    <tablePart r:id="rId148"/>
    <tablePart r:id="rId149"/>
    <tablePart r:id="rId150"/>
    <tablePart r:id="rId151"/>
    <tablePart r:id="rId152"/>
    <tablePart r:id="rId153"/>
    <tablePart r:id="rId154"/>
    <tablePart r:id="rId155"/>
    <tablePart r:id="rId156"/>
    <tablePart r:id="rId157"/>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TotalEstColumnName</vt:lpstr>
      <vt:lpstr>TotalEstColumnValue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rosario.dipp</dc:creator>
  <cp:lastModifiedBy>rosario.dipp</cp:lastModifiedBy>
  <dcterms:created xsi:type="dcterms:W3CDTF">2018-02-05T20:35:54Z</dcterms:created>
  <dcterms:modified xsi:type="dcterms:W3CDTF">2018-02-05T20:37:23Z</dcterms:modified>
</cp:coreProperties>
</file>