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F8B04FAB-470D-422F-8E4C-55011EBB4155}" xr6:coauthVersionLast="47" xr6:coauthVersionMax="47" xr10:uidLastSave="{00000000-0000-0000-0000-000000000000}"/>
  <bookViews>
    <workbookView xWindow="-23148" yWindow="720" windowWidth="23256" windowHeight="12576" tabRatio="624" firstSheet="1" activeTab="13" xr2:uid="{00000000-000D-0000-FFFF-FFFF00000000}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9" r:id="rId9"/>
    <sheet name="2021" sheetId="10" r:id="rId10"/>
    <sheet name="2022" sheetId="11" r:id="rId11"/>
    <sheet name="2023" sheetId="12" r:id="rId12"/>
    <sheet name="2024" sheetId="13" r:id="rId13"/>
    <sheet name="2025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4" l="1"/>
  <c r="E6" i="14" l="1"/>
  <c r="D6" i="14"/>
  <c r="F6" i="14" l="1"/>
  <c r="G6" i="14"/>
  <c r="G9" i="13"/>
  <c r="B6" i="14"/>
  <c r="G6" i="13"/>
  <c r="G18" i="13"/>
  <c r="G15" i="13"/>
  <c r="G12" i="13"/>
  <c r="L7" i="11"/>
  <c r="F6" i="13"/>
  <c r="D6" i="13"/>
  <c r="E6" i="13"/>
  <c r="C6" i="13"/>
  <c r="G9" i="12"/>
  <c r="B6" i="13"/>
  <c r="G18" i="12"/>
  <c r="G15" i="12"/>
  <c r="G12" i="12" l="1"/>
  <c r="C6" i="12"/>
  <c r="B6" i="12"/>
  <c r="D6" i="12"/>
  <c r="E6" i="12"/>
  <c r="F8" i="10"/>
  <c r="G8" i="10"/>
  <c r="F9" i="10"/>
  <c r="G9" i="10"/>
  <c r="F10" i="10"/>
  <c r="G10" i="10"/>
  <c r="F11" i="10"/>
  <c r="G11" i="10"/>
  <c r="F12" i="10"/>
  <c r="G12" i="10"/>
  <c r="F13" i="10"/>
  <c r="G13" i="10"/>
  <c r="F14" i="10"/>
  <c r="G14" i="10"/>
  <c r="F15" i="10"/>
  <c r="G15" i="10"/>
  <c r="F16" i="10"/>
  <c r="G16" i="10"/>
  <c r="F17" i="10"/>
  <c r="G17" i="10"/>
  <c r="F18" i="10"/>
  <c r="G18" i="10"/>
  <c r="G7" i="10"/>
  <c r="F7" i="10"/>
  <c r="G8" i="9"/>
  <c r="G9" i="9"/>
  <c r="G10" i="9"/>
  <c r="G11" i="9"/>
  <c r="G12" i="9"/>
  <c r="G13" i="9"/>
  <c r="G14" i="9"/>
  <c r="G15" i="9"/>
  <c r="G16" i="9"/>
  <c r="G17" i="9"/>
  <c r="G18" i="9"/>
  <c r="G7" i="9"/>
  <c r="H7" i="11"/>
  <c r="F8" i="9"/>
  <c r="F9" i="9"/>
  <c r="F10" i="9"/>
  <c r="F11" i="9"/>
  <c r="F12" i="9"/>
  <c r="F13" i="9"/>
  <c r="F14" i="9"/>
  <c r="F15" i="9"/>
  <c r="F16" i="9"/>
  <c r="F17" i="9"/>
  <c r="F18" i="9"/>
  <c r="F7" i="9"/>
  <c r="D6" i="7"/>
  <c r="F8" i="7"/>
  <c r="F9" i="7"/>
  <c r="F10" i="7"/>
  <c r="F11" i="7"/>
  <c r="F12" i="7"/>
  <c r="F13" i="7"/>
  <c r="F14" i="7"/>
  <c r="F15" i="7"/>
  <c r="F16" i="7"/>
  <c r="F17" i="7"/>
  <c r="F18" i="7"/>
  <c r="F7" i="7"/>
  <c r="G7" i="11"/>
  <c r="G8" i="11"/>
  <c r="L9" i="11" l="1"/>
  <c r="G6" i="12" l="1"/>
  <c r="F6" i="12"/>
  <c r="G12" i="11"/>
  <c r="H12" i="11"/>
  <c r="B6" i="5"/>
  <c r="B6" i="11"/>
  <c r="H16" i="11" l="1"/>
  <c r="H15" i="11"/>
  <c r="H17" i="11"/>
  <c r="H18" i="11"/>
  <c r="G16" i="11"/>
  <c r="G17" i="11"/>
  <c r="G18" i="11"/>
  <c r="G15" i="11"/>
  <c r="L15" i="11"/>
  <c r="L12" i="11"/>
  <c r="H11" i="11"/>
  <c r="H13" i="11"/>
  <c r="H14" i="11"/>
  <c r="G11" i="11"/>
  <c r="G13" i="11"/>
  <c r="G14" i="11"/>
  <c r="C6" i="11"/>
  <c r="G6" i="7" l="1"/>
  <c r="D6" i="5"/>
  <c r="B6" i="8"/>
  <c r="B6" i="7"/>
  <c r="B6" i="6"/>
  <c r="K6" i="11"/>
  <c r="B6" i="10"/>
  <c r="H6" i="10"/>
  <c r="D6" i="10" l="1"/>
  <c r="D6" i="1"/>
  <c r="E6" i="1"/>
  <c r="G6" i="1"/>
  <c r="H6" i="1"/>
  <c r="D6" i="3"/>
  <c r="E6" i="3"/>
  <c r="G6" i="3"/>
  <c r="H6" i="3"/>
  <c r="E6" i="5"/>
  <c r="H6" i="5"/>
  <c r="I6" i="5"/>
  <c r="J6" i="5"/>
  <c r="J6" i="11" l="1"/>
  <c r="L8" i="11"/>
  <c r="L10" i="11"/>
  <c r="H9" i="11"/>
  <c r="H10" i="11"/>
  <c r="G10" i="11"/>
  <c r="G9" i="11"/>
  <c r="H8" i="11"/>
  <c r="I6" i="11"/>
  <c r="F6" i="11"/>
  <c r="E6" i="11"/>
  <c r="D6" i="11"/>
  <c r="C6" i="10"/>
  <c r="K6" i="10"/>
  <c r="J6" i="10"/>
  <c r="I6" i="10"/>
  <c r="G6" i="10"/>
  <c r="F6" i="10"/>
  <c r="E6" i="10"/>
  <c r="G17" i="2"/>
  <c r="G18" i="2"/>
  <c r="K6" i="9"/>
  <c r="J6" i="9"/>
  <c r="I6" i="9"/>
  <c r="H6" i="9"/>
  <c r="G6" i="9"/>
  <c r="F6" i="9"/>
  <c r="E6" i="9"/>
  <c r="D6" i="9"/>
  <c r="C6" i="9"/>
  <c r="B6" i="9"/>
  <c r="G6" i="11" l="1"/>
  <c r="L6" i="11"/>
  <c r="H6" i="11"/>
  <c r="K6" i="8"/>
  <c r="J6" i="8"/>
  <c r="I6" i="8"/>
  <c r="H6" i="8"/>
  <c r="G6" i="8"/>
  <c r="F6" i="8"/>
  <c r="E6" i="8"/>
  <c r="D6" i="8"/>
  <c r="C6" i="8"/>
  <c r="K18" i="7" l="1"/>
  <c r="K17" i="7"/>
  <c r="K16" i="7"/>
  <c r="K15" i="7"/>
  <c r="K14" i="7"/>
  <c r="K13" i="7"/>
  <c r="K12" i="7"/>
  <c r="K11" i="7"/>
  <c r="K10" i="7"/>
  <c r="K9" i="7"/>
  <c r="K8" i="7"/>
  <c r="K7" i="7"/>
  <c r="J6" i="7"/>
  <c r="I6" i="7"/>
  <c r="H6" i="7"/>
  <c r="F6" i="7"/>
  <c r="E6" i="7"/>
  <c r="C6" i="7"/>
  <c r="K6" i="7" l="1"/>
  <c r="G18" i="6"/>
  <c r="F18" i="6"/>
  <c r="K17" i="6"/>
  <c r="G17" i="6"/>
  <c r="F17" i="6"/>
  <c r="K16" i="6"/>
  <c r="G16" i="6"/>
  <c r="F16" i="6"/>
  <c r="K15" i="6"/>
  <c r="G15" i="6"/>
  <c r="F15" i="6"/>
  <c r="K14" i="6"/>
  <c r="G14" i="6"/>
  <c r="F14" i="6"/>
  <c r="K13" i="6"/>
  <c r="G13" i="6"/>
  <c r="F13" i="6"/>
  <c r="K12" i="6"/>
  <c r="G12" i="6"/>
  <c r="F12" i="6"/>
  <c r="K11" i="6"/>
  <c r="G11" i="6"/>
  <c r="F11" i="6"/>
  <c r="K10" i="6"/>
  <c r="G10" i="6"/>
  <c r="F10" i="6"/>
  <c r="K9" i="6"/>
  <c r="G9" i="6"/>
  <c r="F9" i="6"/>
  <c r="K8" i="6"/>
  <c r="G8" i="6"/>
  <c r="F8" i="6"/>
  <c r="K7" i="6"/>
  <c r="G7" i="6"/>
  <c r="F7" i="6"/>
  <c r="J6" i="6"/>
  <c r="I6" i="6"/>
  <c r="H6" i="6"/>
  <c r="E6" i="6"/>
  <c r="D6" i="6"/>
  <c r="C6" i="6"/>
  <c r="F6" i="6" l="1"/>
  <c r="K6" i="6"/>
  <c r="G6" i="6"/>
  <c r="K18" i="5"/>
  <c r="G18" i="5"/>
  <c r="F18" i="5"/>
  <c r="K17" i="5"/>
  <c r="G17" i="5"/>
  <c r="F17" i="5"/>
  <c r="K16" i="5"/>
  <c r="G16" i="5"/>
  <c r="F16" i="5"/>
  <c r="K15" i="5"/>
  <c r="G15" i="5"/>
  <c r="F15" i="5"/>
  <c r="K14" i="5"/>
  <c r="G14" i="5"/>
  <c r="F14" i="5"/>
  <c r="K13" i="5"/>
  <c r="G13" i="5"/>
  <c r="F13" i="5"/>
  <c r="K12" i="5"/>
  <c r="G12" i="5"/>
  <c r="F12" i="5"/>
  <c r="K11" i="5"/>
  <c r="F11" i="5"/>
  <c r="C11" i="5"/>
  <c r="G11" i="5" s="1"/>
  <c r="K10" i="5"/>
  <c r="F10" i="5"/>
  <c r="C10" i="5"/>
  <c r="G10" i="5" s="1"/>
  <c r="K9" i="5"/>
  <c r="F9" i="5"/>
  <c r="C9" i="5"/>
  <c r="G9" i="5" s="1"/>
  <c r="K8" i="5"/>
  <c r="F8" i="5"/>
  <c r="C8" i="5"/>
  <c r="G8" i="5" s="1"/>
  <c r="K7" i="5"/>
  <c r="F7" i="5"/>
  <c r="C7" i="5"/>
  <c r="G7" i="5" l="1"/>
  <c r="G6" i="5" s="1"/>
  <c r="C6" i="5"/>
  <c r="F6" i="5"/>
  <c r="K6" i="5"/>
  <c r="F18" i="4" l="1"/>
  <c r="C18" i="4"/>
  <c r="B18" i="4"/>
  <c r="F17" i="4"/>
  <c r="C17" i="4"/>
  <c r="B17" i="4"/>
  <c r="F16" i="4"/>
  <c r="C16" i="4"/>
  <c r="B16" i="4"/>
  <c r="F15" i="4"/>
  <c r="C15" i="4"/>
  <c r="B15" i="4"/>
  <c r="F14" i="4"/>
  <c r="C14" i="4"/>
  <c r="B14" i="4"/>
  <c r="F13" i="4"/>
  <c r="C13" i="4"/>
  <c r="B13" i="4"/>
  <c r="F12" i="4"/>
  <c r="C12" i="4"/>
  <c r="B12" i="4"/>
  <c r="F11" i="4"/>
  <c r="C11" i="4"/>
  <c r="B11" i="4"/>
  <c r="F10" i="4"/>
  <c r="C10" i="4"/>
  <c r="B10" i="4"/>
  <c r="F9" i="4"/>
  <c r="C9" i="4"/>
  <c r="B9" i="4"/>
  <c r="F8" i="4"/>
  <c r="C8" i="4"/>
  <c r="B8" i="4"/>
  <c r="F7" i="4"/>
  <c r="C7" i="4"/>
  <c r="B7" i="4"/>
  <c r="H6" i="4"/>
  <c r="G6" i="4"/>
  <c r="E6" i="4"/>
  <c r="D6" i="4"/>
  <c r="C6" i="4" l="1"/>
  <c r="B6" i="4"/>
  <c r="F6" i="4"/>
  <c r="F18" i="3" l="1"/>
  <c r="C18" i="3"/>
  <c r="B18" i="3"/>
  <c r="F17" i="3"/>
  <c r="C17" i="3"/>
  <c r="B17" i="3"/>
  <c r="F16" i="3"/>
  <c r="C16" i="3"/>
  <c r="B16" i="3"/>
  <c r="F15" i="3"/>
  <c r="C15" i="3"/>
  <c r="B15" i="3"/>
  <c r="F14" i="3"/>
  <c r="C14" i="3"/>
  <c r="B14" i="3"/>
  <c r="F13" i="3"/>
  <c r="C13" i="3"/>
  <c r="B13" i="3"/>
  <c r="F12" i="3"/>
  <c r="C12" i="3"/>
  <c r="B12" i="3"/>
  <c r="F11" i="3"/>
  <c r="C11" i="3"/>
  <c r="B11" i="3"/>
  <c r="F10" i="3"/>
  <c r="C10" i="3"/>
  <c r="B10" i="3"/>
  <c r="F9" i="3"/>
  <c r="C9" i="3"/>
  <c r="B9" i="3"/>
  <c r="F8" i="3"/>
  <c r="C8" i="3"/>
  <c r="B8" i="3"/>
  <c r="F7" i="3"/>
  <c r="C7" i="3"/>
  <c r="B7" i="3"/>
  <c r="F6" i="3" l="1"/>
  <c r="C6" i="3"/>
  <c r="B6" i="3"/>
  <c r="F18" i="2"/>
  <c r="B18" i="2"/>
  <c r="F17" i="2"/>
  <c r="B17" i="2"/>
  <c r="F16" i="2"/>
  <c r="C16" i="2"/>
  <c r="G16" i="2" s="1"/>
  <c r="B16" i="2"/>
  <c r="F15" i="2"/>
  <c r="C15" i="2"/>
  <c r="G15" i="2" s="1"/>
  <c r="B15" i="2"/>
  <c r="F14" i="2"/>
  <c r="C14" i="2"/>
  <c r="G14" i="2" s="1"/>
  <c r="B14" i="2"/>
  <c r="F13" i="2"/>
  <c r="C13" i="2"/>
  <c r="G13" i="2" s="1"/>
  <c r="B13" i="2"/>
  <c r="F12" i="2"/>
  <c r="C12" i="2"/>
  <c r="G12" i="2" s="1"/>
  <c r="B12" i="2"/>
  <c r="F11" i="2"/>
  <c r="C11" i="2"/>
  <c r="G11" i="2" s="1"/>
  <c r="B11" i="2"/>
  <c r="F10" i="2"/>
  <c r="C10" i="2"/>
  <c r="G10" i="2" s="1"/>
  <c r="B10" i="2"/>
  <c r="F9" i="2"/>
  <c r="C9" i="2"/>
  <c r="G9" i="2" s="1"/>
  <c r="B9" i="2"/>
  <c r="F8" i="2"/>
  <c r="C8" i="2"/>
  <c r="G8" i="2" s="1"/>
  <c r="B8" i="2"/>
  <c r="F7" i="2"/>
  <c r="C7" i="2"/>
  <c r="G7" i="2" s="1"/>
  <c r="B7" i="2"/>
  <c r="I6" i="2"/>
  <c r="H6" i="2"/>
  <c r="E6" i="2"/>
  <c r="D6" i="2"/>
  <c r="B6" i="2" l="1"/>
  <c r="F6" i="2"/>
  <c r="G6" i="2"/>
  <c r="C6" i="2"/>
  <c r="F18" i="1"/>
  <c r="C18" i="1"/>
  <c r="B18" i="1"/>
  <c r="F17" i="1"/>
  <c r="C17" i="1"/>
  <c r="B17" i="1"/>
  <c r="F16" i="1"/>
  <c r="C16" i="1"/>
  <c r="B16" i="1"/>
  <c r="F15" i="1"/>
  <c r="C15" i="1"/>
  <c r="B15" i="1"/>
  <c r="F14" i="1"/>
  <c r="C14" i="1"/>
  <c r="B14" i="1"/>
  <c r="F13" i="1"/>
  <c r="C13" i="1"/>
  <c r="B13" i="1"/>
  <c r="F12" i="1"/>
  <c r="C12" i="1"/>
  <c r="B12" i="1"/>
  <c r="F11" i="1"/>
  <c r="C11" i="1"/>
  <c r="B11" i="1"/>
  <c r="F10" i="1"/>
  <c r="C10" i="1"/>
  <c r="B10" i="1"/>
  <c r="F9" i="1"/>
  <c r="C9" i="1"/>
  <c r="B9" i="1"/>
  <c r="F8" i="1"/>
  <c r="C8" i="1"/>
  <c r="B8" i="1"/>
  <c r="F7" i="1"/>
  <c r="C7" i="1"/>
  <c r="B7" i="1"/>
  <c r="B6" i="1" l="1"/>
  <c r="C6" i="1"/>
  <c r="F6" i="1"/>
</calcChain>
</file>

<file path=xl/sharedStrings.xml><?xml version="1.0" encoding="utf-8"?>
<sst xmlns="http://schemas.openxmlformats.org/spreadsheetml/2006/main" count="598" uniqueCount="102">
  <si>
    <t xml:space="preserve">    Mes</t>
  </si>
  <si>
    <t>Cantidad de aguas residuales tratadas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</si>
  <si>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</si>
  <si>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</si>
  <si>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</si>
  <si>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</si>
  <si>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</si>
  <si>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</si>
  <si>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</si>
  <si>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</si>
  <si>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</si>
  <si>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</si>
  <si>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</si>
  <si>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</si>
  <si>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</si>
  <si>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m³  por día : Metro cúbico por día</t>
  </si>
  <si>
    <t>Fuente: Registros administrativos, Informe estadístico mensual, Departameto de Planificación, Corporación de Acueducto y Alcantarillado de Santo Domingo, CAASD</t>
  </si>
  <si>
    <t>Observaciones: La disminucion presentada en la matriz a partir de Septiembre se debio a que los servicios de agua y saneamiento del Municipio de Boca Chica paso a la Corporacion del Acueducto de Boca Chica (CORAABO)</t>
  </si>
  <si>
    <t>Fuente: Registros administrativos, Informe estadístico mensual, Departamento de Planificación, Corporación de Acueducto y Alcantarillado de Santo Domingo, CAASD</t>
  </si>
  <si>
    <t>Fuente: Registros administrativos, Informe estadístico mensual, Departemento de Planificación, Corporación de Acueducto y Alcantarillado de Santo Domingo, CAASD</t>
  </si>
  <si>
    <t>Cantidad de usuarios catastrados, jurisdicción CAASD</t>
  </si>
  <si>
    <t>% de cobertura comercial</t>
  </si>
  <si>
    <t>Fuente: Registros administrativos, Informe estadístico mensual, Deparmento de Planificación, Corporación de Acueducto y Alcantarillado de Santo Domingo, CAASD</t>
  </si>
  <si>
    <t>Promedio total</t>
  </si>
  <si>
    <t>Promedio mensual de usuarios de alcantarillado</t>
  </si>
  <si>
    <t>Fuente: Registros administrativos, Informe estadístico mensual, Departamento de Planificación, Corporación de Acueducto y Alcantarillado de Santo Domingo, (CAASD)</t>
  </si>
  <si>
    <r>
      <rPr>
        <vertAlign val="superscript"/>
        <sz val="7"/>
        <rFont val="Roboto"/>
      </rPr>
      <t>2</t>
    </r>
    <r>
      <rPr>
        <sz val="7"/>
        <rFont val="Roboto"/>
      </rPr>
      <t>: La producción de aguas residuales equivale al 80% de la producción de agua total y la dotacion por persona para la poblacion del Distrito Nacional y la Provincia de Santo Domingo</t>
    </r>
  </si>
  <si>
    <r>
      <rPr>
        <vertAlign val="superscript"/>
        <sz val="7"/>
        <rFont val="Roboto"/>
      </rPr>
      <t>3</t>
    </r>
    <r>
      <rPr>
        <sz val="7"/>
        <rFont val="Roboto"/>
      </rPr>
      <t>: Aguas residuales recolectadas en el sistema de alcantarillado sanitario es igual a población con servicio de alcatarillado * 300 * 0.8] / 1000</t>
    </r>
  </si>
  <si>
    <r>
      <rPr>
        <vertAlign val="superscript"/>
        <sz val="7"/>
        <rFont val="Roboto"/>
      </rPr>
      <t>4</t>
    </r>
    <r>
      <rPr>
        <sz val="7"/>
        <rFont val="Roboto"/>
      </rPr>
      <t>: El porciento de aguas residuales tratadas es igual a la cantidad aguas residuales tratadas / cantidad recolectada</t>
    </r>
  </si>
  <si>
    <r>
      <rPr>
        <vertAlign val="superscript"/>
        <sz val="7"/>
        <rFont val="Roboto"/>
      </rPr>
      <t>5</t>
    </r>
    <r>
      <rPr>
        <sz val="7"/>
        <rFont val="Roboto"/>
      </rPr>
      <t>: Usuarios número de viviendas a las que se le facturan los servicios</t>
    </r>
  </si>
  <si>
    <r>
      <rPr>
        <vertAlign val="superscript"/>
        <sz val="7"/>
        <rFont val="Roboto"/>
      </rPr>
      <t>6</t>
    </r>
    <r>
      <rPr>
        <sz val="7"/>
        <rFont val="Roboto"/>
      </rPr>
      <t>: Total promedio simple de los valores mensuales</t>
    </r>
  </si>
  <si>
    <r>
      <t>Producción de agua potable por la CAASD</t>
    </r>
    <r>
      <rPr>
        <b/>
        <vertAlign val="superscript"/>
        <sz val="9"/>
        <rFont val="Roboto"/>
      </rPr>
      <t>1</t>
    </r>
  </si>
  <si>
    <r>
      <t>Producción de aguas residuales</t>
    </r>
    <r>
      <rPr>
        <b/>
        <vertAlign val="superscript"/>
        <sz val="9"/>
        <rFont val="Roboto"/>
      </rPr>
      <t>2</t>
    </r>
  </si>
  <si>
    <r>
      <t>Aguas residuales recolectadas en el sistema de alcantarillado sanitario</t>
    </r>
    <r>
      <rPr>
        <b/>
        <vertAlign val="superscript"/>
        <sz val="9"/>
        <rFont val="Roboto"/>
      </rPr>
      <t>3</t>
    </r>
  </si>
  <si>
    <r>
      <t>% de aguas residuales tratadas</t>
    </r>
    <r>
      <rPr>
        <b/>
        <vertAlign val="superscript"/>
        <sz val="9"/>
        <rFont val="Roboto"/>
      </rPr>
      <t>4</t>
    </r>
  </si>
  <si>
    <r>
      <t>Promedio mensual de usuarios agua potable</t>
    </r>
    <r>
      <rPr>
        <b/>
        <vertAlign val="superscript"/>
        <sz val="9"/>
        <rFont val="Roboto"/>
      </rPr>
      <t>5</t>
    </r>
  </si>
  <si>
    <r>
      <t>Promedio mensual de usuarios de alcantarillado</t>
    </r>
    <r>
      <rPr>
        <b/>
        <vertAlign val="superscript"/>
        <sz val="9"/>
        <rFont val="Roboto"/>
      </rPr>
      <t>6</t>
    </r>
  </si>
  <si>
    <r>
      <t>m</t>
    </r>
    <r>
      <rPr>
        <b/>
        <vertAlign val="superscript"/>
        <sz val="9"/>
        <rFont val="Roboto"/>
      </rPr>
      <t>3</t>
    </r>
    <r>
      <rPr>
        <b/>
        <sz val="9"/>
        <rFont val="Roboto"/>
      </rPr>
      <t xml:space="preserve"> por día</t>
    </r>
  </si>
  <si>
    <r>
      <rPr>
        <vertAlign val="superscript"/>
        <sz val="7"/>
        <rFont val="Roboto"/>
      </rPr>
      <t>5</t>
    </r>
    <r>
      <rPr>
        <sz val="7"/>
        <rFont val="Roboto"/>
      </rPr>
      <t>: Usuarios: Número de viviendas a las que se le facturan los servicios</t>
    </r>
  </si>
  <si>
    <r>
      <rPr>
        <vertAlign val="superscript"/>
        <sz val="7"/>
        <rFont val="Roboto"/>
      </rPr>
      <t>7</t>
    </r>
    <r>
      <rPr>
        <sz val="7"/>
        <rFont val="Roboto"/>
      </rPr>
      <t>: El porciento de cobertura de saneamiento de aguas residuales es igual a la cantidad aguas residuales tratadas / la produccion de aguas residuales</t>
    </r>
  </si>
  <si>
    <r>
      <t>% de cobertura de saneamiento de aguas residuales</t>
    </r>
    <r>
      <rPr>
        <b/>
        <vertAlign val="superscript"/>
        <sz val="9"/>
        <rFont val="Roboto"/>
      </rPr>
      <t>7</t>
    </r>
  </si>
  <si>
    <r>
      <rPr>
        <vertAlign val="superscript"/>
        <sz val="7"/>
        <rFont val="Roboto"/>
      </rPr>
      <t>6</t>
    </r>
    <r>
      <rPr>
        <sz val="7"/>
        <rFont val="Roboto"/>
      </rPr>
      <t>: Total: Promedio simple de los valores mensuales</t>
    </r>
  </si>
  <si>
    <r>
      <rPr>
        <vertAlign val="superscript"/>
        <sz val="7"/>
        <rFont val="Roboto"/>
      </rPr>
      <t>2</t>
    </r>
    <r>
      <rPr>
        <sz val="7"/>
        <rFont val="Roboto"/>
      </rPr>
      <t>: La producción de aguas residuales equivale al 80% de la producción de agua total y la dotación por persona para la población del Distrito Nacional y la Provincia de Santo Domingo</t>
    </r>
  </si>
  <si>
    <r>
      <rPr>
        <vertAlign val="superscript"/>
        <sz val="7"/>
        <rFont val="Roboto"/>
      </rPr>
      <t>3</t>
    </r>
    <r>
      <rPr>
        <sz val="7"/>
        <rFont val="Roboto"/>
      </rPr>
      <t>: Aguas residuales recolectadas en el sistema de alcantarillado sanitario es igual a población con servicio de alcantarilladlo * 300 * 0.8] / 1000</t>
    </r>
  </si>
  <si>
    <r>
      <rPr>
        <vertAlign val="superscript"/>
        <sz val="7"/>
        <rFont val="Roboto"/>
      </rPr>
      <t>5</t>
    </r>
    <r>
      <rPr>
        <sz val="7"/>
        <rFont val="Roboto"/>
      </rPr>
      <t>:  El porciento de aguas residuales real tratadas es la cantidad de aguas residuales tratadas entre la producción de aguas residuales, generada en la zona del Distrito Nacional, la Provincia Santo Domingo y sus Municipios.</t>
    </r>
  </si>
  <si>
    <r>
      <rPr>
        <vertAlign val="superscript"/>
        <sz val="7"/>
        <rFont val="Roboto"/>
      </rPr>
      <t>6</t>
    </r>
    <r>
      <rPr>
        <sz val="7"/>
        <rFont val="Roboto"/>
      </rPr>
      <t>: Usuarios número de viviendas a las que se le facturan los servicios</t>
    </r>
  </si>
  <si>
    <r>
      <rPr>
        <vertAlign val="superscript"/>
        <sz val="7"/>
        <rFont val="Roboto"/>
      </rPr>
      <t>7</t>
    </r>
    <r>
      <rPr>
        <sz val="7"/>
        <rFont val="Roboto"/>
      </rPr>
      <t>: Total promedio simple de los valores mensuales</t>
    </r>
  </si>
  <si>
    <r>
      <t>% agua residuales real tratadas</t>
    </r>
    <r>
      <rPr>
        <b/>
        <vertAlign val="superscript"/>
        <sz val="9"/>
        <rFont val="Roboto"/>
      </rPr>
      <t>5</t>
    </r>
  </si>
  <si>
    <r>
      <t>Promedio mensual de usuarios agua potable</t>
    </r>
    <r>
      <rPr>
        <b/>
        <vertAlign val="superscript"/>
        <sz val="9"/>
        <rFont val="Roboto"/>
      </rPr>
      <t>6</t>
    </r>
  </si>
  <si>
    <r>
      <t>Promedio mensual de usuarios de alcantarillado</t>
    </r>
    <r>
      <rPr>
        <b/>
        <vertAlign val="superscript"/>
        <sz val="9"/>
        <rFont val="Roboto"/>
      </rPr>
      <t>7</t>
    </r>
  </si>
  <si>
    <r>
      <rPr>
        <vertAlign val="superscript"/>
        <sz val="7"/>
        <rFont val="Roboto"/>
      </rPr>
      <t>5</t>
    </r>
    <r>
      <rPr>
        <sz val="7"/>
        <rFont val="Roboto"/>
      </rPr>
      <t>: El porciento de aguas residuales real tratadas es la cantidad de aguas residuales tratadas entre la producción de aguas residuales, generada en la zona del Distrito Nacional, la Provincia Santo Domingo y sus Municipios.</t>
    </r>
  </si>
  <si>
    <r>
      <rPr>
        <vertAlign val="superscript"/>
        <sz val="7"/>
        <rFont val="Roboto"/>
      </rPr>
      <t>6</t>
    </r>
    <r>
      <rPr>
        <sz val="7"/>
        <rFont val="Roboto"/>
      </rPr>
      <t>: Usuarios: Número de viviendas a las que se le facturan los servicios</t>
    </r>
  </si>
  <si>
    <r>
      <rPr>
        <vertAlign val="superscript"/>
        <sz val="7"/>
        <rFont val="Roboto"/>
      </rPr>
      <t>7</t>
    </r>
    <r>
      <rPr>
        <sz val="7"/>
        <rFont val="Roboto"/>
      </rPr>
      <t>: Total: Promedio simple de los valores mensuales</t>
    </r>
  </si>
  <si>
    <r>
      <t>Índice de potabilidad</t>
    </r>
    <r>
      <rPr>
        <b/>
        <vertAlign val="superscript"/>
        <sz val="9"/>
        <rFont val="Roboto"/>
      </rPr>
      <t>2</t>
    </r>
  </si>
  <si>
    <r>
      <t>Producción de aguas residuales</t>
    </r>
    <r>
      <rPr>
        <b/>
        <vertAlign val="superscript"/>
        <sz val="9"/>
        <rFont val="Roboto"/>
      </rPr>
      <t>3</t>
    </r>
  </si>
  <si>
    <r>
      <t>Aguas residuales recolectadas en el sistema de alcantarillado sanitario</t>
    </r>
    <r>
      <rPr>
        <b/>
        <vertAlign val="superscript"/>
        <sz val="9"/>
        <rFont val="Roboto"/>
      </rPr>
      <t>4</t>
    </r>
  </si>
  <si>
    <r>
      <t>% de aguas residuales tratadas</t>
    </r>
    <r>
      <rPr>
        <b/>
        <vertAlign val="superscript"/>
        <sz val="9"/>
        <rFont val="Roboto"/>
      </rPr>
      <t>5</t>
    </r>
  </si>
  <si>
    <r>
      <t>% agua residuales real tratadas</t>
    </r>
    <r>
      <rPr>
        <b/>
        <vertAlign val="superscript"/>
        <sz val="9"/>
        <rFont val="Roboto"/>
      </rPr>
      <t>6</t>
    </r>
  </si>
  <si>
    <r>
      <t>Promedio mensual de usuarios agua potable</t>
    </r>
    <r>
      <rPr>
        <b/>
        <vertAlign val="superscript"/>
        <sz val="9"/>
        <rFont val="Roboto"/>
      </rPr>
      <t>7</t>
    </r>
  </si>
  <si>
    <t xml:space="preserve">*Cifras sujetas a rectificacion </t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</si>
  <si>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:Los datos proporcionados por la CAASD vienen dados en Millones de Galones Diarios (MGD), para convertirlos a M3 se utilizó la fórmula M3/D = (MGD/264.18) x 1000000</t>
    </r>
  </si>
  <si>
    <r>
      <t>Nota:</t>
    </r>
    <r>
      <rPr>
        <vertAlign val="superscript"/>
        <sz val="7"/>
        <rFont val="Roboto"/>
      </rPr>
      <t xml:space="preserve"> 1</t>
    </r>
    <r>
      <rPr>
        <sz val="7"/>
        <rFont val="Roboto"/>
      </rPr>
      <t>:Los datos proporcionados por la CAASD vienen dados en Millones de Galones Diarios (MGD), para convertirlos a M3 se utilizó la fórmula M3/D = (MGD/264.18) x 1000000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</si>
  <si>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: Los datos proporcionados por la CAASD vienen dados en Millones de Galones Diarios (MGD), para convertirlos a M3 se utilizó la fórmula M3/D = (MGD/264.18) x 1000000</t>
    </r>
  </si>
  <si>
    <r>
      <t>Nota:</t>
    </r>
    <r>
      <rPr>
        <vertAlign val="superscript"/>
        <sz val="7"/>
        <rFont val="Roboto"/>
      </rPr>
      <t xml:space="preserve"> 1</t>
    </r>
    <r>
      <rPr>
        <sz val="7"/>
        <rFont val="Roboto"/>
      </rPr>
      <t>: Los datos proporcionados por la CAASD vienen dados en Millones de Galones Diarios (MGD), para convertirlos a M3 se utilizó la fórmula M3/D = (MGD/264.18) x 1000000</t>
    </r>
  </si>
  <si>
    <r>
      <t>Nota:</t>
    </r>
    <r>
      <rPr>
        <vertAlign val="superscript"/>
        <sz val="7"/>
        <rFont val="Roboto"/>
      </rPr>
      <t xml:space="preserve"> 1</t>
    </r>
    <r>
      <rPr>
        <sz val="7"/>
        <rFont val="Roboto"/>
      </rPr>
      <t>:  Los datos proporcionados por la CAASD vienen dados en Millones de Galones Diarios (MGD), para convertirlos a M3 se utilizó la fórmula M3/D = (MGD/264.18) x 1000000</t>
    </r>
  </si>
  <si>
    <t>n/d</t>
  </si>
  <si>
    <r>
      <t>Promedio</t>
    </r>
    <r>
      <rPr>
        <b/>
        <vertAlign val="superscript"/>
        <sz val="9"/>
        <rFont val="Roboto"/>
      </rPr>
      <t>8</t>
    </r>
  </si>
  <si>
    <r>
      <t>Promedio</t>
    </r>
    <r>
      <rPr>
        <b/>
        <vertAlign val="superscript"/>
        <sz val="9"/>
        <rFont val="Roboto"/>
      </rPr>
      <t>7</t>
    </r>
  </si>
  <si>
    <t>Promedio</t>
  </si>
  <si>
    <t>La CAASD mejoró sus sistemas de información, ampliando la cobertura de los usuarios y otras variables para el año 2022.</t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</si>
  <si>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Los datos proporcionados por la CAASD vienen dados en Millones de Galones Diarios (MGD), para convertirlos a M3 se utilizó la fórmula M3/D = (MGD/264.18) x 1000000</t>
    </r>
  </si>
  <si>
    <r>
      <rPr>
        <vertAlign val="superscript"/>
        <sz val="7"/>
        <rFont val="Roboto"/>
      </rPr>
      <t>2</t>
    </r>
    <r>
      <rPr>
        <sz val="7"/>
        <rFont val="Roboto"/>
      </rPr>
      <t>El índice de potabilidad (Negatividad de Coliformes Totales) se calcula sobre la base del número de tubos positivos (no representa el promedio).</t>
    </r>
  </si>
  <si>
    <r>
      <rPr>
        <vertAlign val="superscript"/>
        <sz val="7"/>
        <rFont val="Roboto"/>
      </rPr>
      <t>3</t>
    </r>
    <r>
      <rPr>
        <sz val="7"/>
        <rFont val="Roboto"/>
      </rPr>
      <t>La producción de aguas residuales equivale al 80% de la producción de agua total y la dotación por persona para la población del Distrito Nacional y la Provincia de Santo Domingo</t>
    </r>
  </si>
  <si>
    <r>
      <rPr>
        <vertAlign val="superscript"/>
        <sz val="7"/>
        <rFont val="Roboto"/>
      </rPr>
      <t>4</t>
    </r>
    <r>
      <rPr>
        <sz val="7"/>
        <rFont val="Roboto"/>
      </rPr>
      <t>Aguas residuales recolectadas en el sistema de alcantarillado sanitario es igual a población con servicio de alcantarilladlo * 300 * 0.8] / 1000</t>
    </r>
  </si>
  <si>
    <r>
      <rPr>
        <vertAlign val="superscript"/>
        <sz val="7"/>
        <rFont val="Roboto"/>
      </rPr>
      <t>5</t>
    </r>
    <r>
      <rPr>
        <sz val="7"/>
        <rFont val="Roboto"/>
      </rPr>
      <t>El porciento de aguas residuales tratadas es igual a la cantidad aguas residuales tratadas / cantidad recolectada</t>
    </r>
  </si>
  <si>
    <r>
      <rPr>
        <vertAlign val="superscript"/>
        <sz val="7"/>
        <rFont val="Roboto"/>
      </rPr>
      <t>6</t>
    </r>
    <r>
      <rPr>
        <sz val="7"/>
        <rFont val="Roboto"/>
      </rPr>
      <t>El porciento de aguas residuales real tratadas es la cantidad de aguas residuales tratadas entre la producción de aguas residuales, generada en la zona del Distrito Nacional, la Provincia Santo Domingo y sus Municipios.</t>
    </r>
  </si>
  <si>
    <r>
      <rPr>
        <vertAlign val="superscript"/>
        <sz val="7"/>
        <rFont val="Roboto"/>
      </rPr>
      <t>7</t>
    </r>
    <r>
      <rPr>
        <sz val="7"/>
        <rFont val="Roboto"/>
      </rPr>
      <t>Usuarios: Número de viviendas a las que se le facturan los servicios</t>
    </r>
  </si>
  <si>
    <r>
      <rPr>
        <vertAlign val="superscript"/>
        <sz val="7"/>
        <rFont val="Roboto"/>
      </rPr>
      <t>8</t>
    </r>
    <r>
      <rPr>
        <sz val="7"/>
        <rFont val="Roboto"/>
      </rPr>
      <t>Total: Promedio simple de los valores mensuales</t>
    </r>
  </si>
  <si>
    <t xml:space="preserve">*Cifras sujetas a rectificación </t>
  </si>
  <si>
    <t>m³  por día: Metro cúbico por día</t>
  </si>
  <si>
    <t>m³ por día: Metro cúbico por día</t>
  </si>
  <si>
    <r>
      <rPr>
        <sz val="7"/>
        <rFont val="Roboto"/>
      </rPr>
      <t>*Cifras sujetas a rectificación</t>
    </r>
    <r>
      <rPr>
        <sz val="9"/>
        <rFont val="Roboto"/>
      </rPr>
      <t xml:space="preserve"> </t>
    </r>
  </si>
  <si>
    <r>
      <t>Promedio mensual de usuarios agua potable</t>
    </r>
    <r>
      <rPr>
        <b/>
        <vertAlign val="superscript"/>
        <sz val="9"/>
        <rFont val="Roboto"/>
      </rPr>
      <t>3</t>
    </r>
  </si>
  <si>
    <r>
      <rPr>
        <vertAlign val="superscript"/>
        <sz val="7"/>
        <rFont val="Roboto"/>
      </rPr>
      <t>3</t>
    </r>
    <r>
      <rPr>
        <sz val="7"/>
        <rFont val="Roboto"/>
      </rPr>
      <t>Usuarios: Número de viviendas a las que se le facturan los servicios</t>
    </r>
  </si>
  <si>
    <r>
      <rPr>
        <vertAlign val="superscript"/>
        <sz val="7"/>
        <rFont val="Roboto"/>
      </rPr>
      <t>4</t>
    </r>
    <r>
      <rPr>
        <sz val="7"/>
        <rFont val="Roboto"/>
      </rPr>
      <t>Total: Promedio simple de los valores mensuales</t>
    </r>
  </si>
  <si>
    <r>
      <t>Promedio</t>
    </r>
    <r>
      <rPr>
        <b/>
        <vertAlign val="superscript"/>
        <sz val="9"/>
        <rFont val="Roboto"/>
      </rPr>
      <t>4</t>
    </r>
  </si>
  <si>
    <t>n/a</t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</si>
  <si>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2012*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</si>
  <si>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2013*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</si>
  <si>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2014*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</si>
  <si>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2015*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</si>
  <si>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2016*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</si>
  <si>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2017*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</si>
  <si>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2018*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</si>
  <si>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2019*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</si>
  <si>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2020*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</si>
  <si>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2021*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</si>
  <si>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aguas residuales, tratadas y número de usuarios de la CAASD, según mes, 2022*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</si>
  <si>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alcantarillado, tratadas y número de usuarios de la CAASD, según mes, 2023*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</si>
  <si>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alcantarillado, tratadas y número de usuario de la CAASD, según mes, 2024*</t>
    </r>
  </si>
  <si>
    <r>
      <rPr>
        <b/>
        <sz val="9"/>
        <rFont val="Roboto"/>
      </rPr>
      <t>Cuadro 3.1</t>
    </r>
    <r>
      <rPr>
        <sz val="9"/>
        <rFont val="Roboto"/>
      </rPr>
      <t xml:space="preserve"> REPÚBLICA DOMINICANA: Producción de agua potable, alcantarillado, tratadas y número de usuario de la CAASD, según mes, 2025*</t>
    </r>
  </si>
  <si>
    <t xml:space="preserve">Los datos de clientes de Alcantarillado de los meses  febrero y marzo están sujetos a cambio, pendiente de revisión y actualización al 3-12-25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</si>
</sst>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.00_);_(* \(#,##0.00\);_(* \-??_);_(@_)"/>
    <numFmt numFmtId="166" formatCode="#,##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Roboto"/>
    </font>
    <font>
      <sz val="7"/>
      <name val="Roboto"/>
    </font>
    <font>
      <vertAlign val="superscript"/>
      <sz val="7"/>
      <name val="Roboto"/>
    </font>
    <font>
      <sz val="9"/>
      <color theme="1"/>
      <name val="Roboto"/>
    </font>
    <font>
      <b/>
      <sz val="9"/>
      <name val="Roboto"/>
    </font>
    <font>
      <b/>
      <vertAlign val="superscript"/>
      <sz val="9"/>
      <name val="Roboto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8"/>
      <name val="Roboto"/>
    </font>
    <font>
      <sz val="10"/>
      <name val="Roboto"/>
    </font>
    <font>
      <b/>
      <sz val="11"/>
      <color theme="1"/>
      <name val="Roboto"/>
    </font>
    <font>
      <sz val="7"/>
      <color theme="1"/>
      <name val="Roboto"/>
    </font>
    <font>
      <b/>
      <sz val="14"/>
      <name val="Arial"/>
      <family val="2"/>
    </font>
    <font>
      <b/>
      <sz val="9"/>
      <name val="Arial"/>
      <family val="2"/>
    </font>
    <font>
      <sz val="9"/>
      <name val="Arial MT"/>
    </font>
    <font>
      <sz val="9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206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3" fillId="0" borderId="0" applyFill="0" applyBorder="0" applyAlignment="0" applyProtection="0"/>
    <xf numFmtId="165" fontId="3" fillId="0" borderId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4" fillId="3" borderId="0" xfId="3" applyFont="1" applyFill="1" applyAlignment="1">
      <alignment vertical="center" wrapText="1"/>
    </xf>
    <xf numFmtId="0" fontId="4" fillId="3" borderId="0" xfId="3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3" applyNumberFormat="1" applyFont="1" applyFill="1" applyAlignment="1">
      <alignment horizontal="center" vertical="center" wrapText="1"/>
    </xf>
    <xf numFmtId="0" fontId="4" fillId="3" borderId="0" xfId="0" applyFont="1" applyFill="1"/>
    <xf numFmtId="4" fontId="4" fillId="3" borderId="0" xfId="5" applyNumberFormat="1" applyFont="1" applyFill="1" applyBorder="1" applyAlignment="1" applyProtection="1">
      <alignment horizontal="right" vertical="justify" wrapText="1" indent="1"/>
    </xf>
    <xf numFmtId="4" fontId="4" fillId="3" borderId="0" xfId="4" applyNumberFormat="1" applyFont="1" applyFill="1" applyBorder="1" applyAlignment="1" applyProtection="1">
      <alignment horizontal="right" vertical="justify" wrapText="1" indent="1"/>
    </xf>
    <xf numFmtId="3" fontId="4" fillId="3" borderId="0" xfId="4" applyNumberFormat="1" applyFont="1" applyFill="1" applyBorder="1" applyAlignment="1" applyProtection="1">
      <alignment horizontal="right" vertical="justify" wrapText="1" indent="1"/>
    </xf>
    <xf numFmtId="4" fontId="4" fillId="3" borderId="0" xfId="3" applyNumberFormat="1" applyFont="1" applyFill="1" applyAlignment="1">
      <alignment horizontal="right" vertical="justify" wrapText="1" indent="1"/>
    </xf>
    <xf numFmtId="3" fontId="4" fillId="3" borderId="2" xfId="4" applyNumberFormat="1" applyFont="1" applyFill="1" applyBorder="1" applyAlignment="1" applyProtection="1">
      <alignment horizontal="right" vertical="justify" wrapText="1" indent="1"/>
    </xf>
    <xf numFmtId="0" fontId="7" fillId="2" borderId="0" xfId="0" applyFont="1" applyFill="1"/>
    <xf numFmtId="0" fontId="8" fillId="3" borderId="1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right" vertical="center" wrapText="1" indent="1"/>
    </xf>
    <xf numFmtId="0" fontId="8" fillId="3" borderId="3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3" applyNumberFormat="1" applyFont="1" applyFill="1" applyAlignment="1">
      <alignment horizontal="center" vertical="center" wrapText="1"/>
    </xf>
    <xf numFmtId="0" fontId="4" fillId="2" borderId="0" xfId="0" applyFont="1" applyFill="1"/>
    <xf numFmtId="0" fontId="8" fillId="2" borderId="1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43" fontId="4" fillId="3" borderId="0" xfId="1" applyFont="1" applyFill="1"/>
    <xf numFmtId="0" fontId="5" fillId="3" borderId="0" xfId="0" applyFont="1" applyFill="1"/>
    <xf numFmtId="166" fontId="4" fillId="3" borderId="0" xfId="4" applyNumberFormat="1" applyFont="1" applyFill="1" applyBorder="1" applyAlignment="1" applyProtection="1">
      <alignment horizontal="center" vertical="justify" wrapText="1"/>
    </xf>
    <xf numFmtId="3" fontId="4" fillId="3" borderId="0" xfId="4" applyNumberFormat="1" applyFont="1" applyFill="1" applyBorder="1" applyAlignment="1" applyProtection="1">
      <alignment horizontal="center" vertical="justify" wrapText="1"/>
    </xf>
    <xf numFmtId="0" fontId="7" fillId="0" borderId="0" xfId="0" applyFont="1"/>
    <xf numFmtId="0" fontId="8" fillId="3" borderId="3" xfId="0" applyFont="1" applyFill="1" applyBorder="1"/>
    <xf numFmtId="0" fontId="8" fillId="3" borderId="0" xfId="0" applyFont="1" applyFill="1" applyAlignment="1">
      <alignment horizontal="center" vertical="justify" wrapText="1"/>
    </xf>
    <xf numFmtId="0" fontId="5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4" fontId="4" fillId="3" borderId="0" xfId="4" applyNumberFormat="1" applyFont="1" applyFill="1" applyBorder="1" applyAlignment="1" applyProtection="1">
      <alignment horizontal="center" vertical="justify" wrapText="1"/>
    </xf>
    <xf numFmtId="0" fontId="4" fillId="2" borderId="0" xfId="3" applyFont="1" applyFill="1" applyAlignment="1">
      <alignment vertical="center"/>
    </xf>
    <xf numFmtId="4" fontId="4" fillId="2" borderId="0" xfId="3" applyNumberFormat="1" applyFont="1" applyFill="1" applyAlignment="1">
      <alignment horizontal="right" vertical="justify"/>
    </xf>
    <xf numFmtId="4" fontId="4" fillId="2" borderId="0" xfId="4" applyNumberFormat="1" applyFont="1" applyFill="1" applyBorder="1" applyAlignment="1" applyProtection="1">
      <alignment horizontal="right" vertical="justify"/>
    </xf>
    <xf numFmtId="2" fontId="4" fillId="2" borderId="0" xfId="2" applyNumberFormat="1" applyFont="1" applyFill="1" applyBorder="1" applyAlignment="1" applyProtection="1">
      <alignment horizontal="right" vertical="justify"/>
    </xf>
    <xf numFmtId="3" fontId="4" fillId="2" borderId="0" xfId="4" applyNumberFormat="1" applyFont="1" applyFill="1" applyBorder="1" applyAlignment="1" applyProtection="1">
      <alignment horizontal="right" vertical="justify"/>
    </xf>
    <xf numFmtId="4" fontId="4" fillId="3" borderId="0" xfId="3" applyNumberFormat="1" applyFont="1" applyFill="1" applyAlignment="1">
      <alignment horizontal="right" vertical="justify"/>
    </xf>
    <xf numFmtId="4" fontId="4" fillId="3" borderId="0" xfId="4" applyNumberFormat="1" applyFont="1" applyFill="1" applyBorder="1" applyAlignment="1" applyProtection="1">
      <alignment horizontal="right" vertical="justify"/>
    </xf>
    <xf numFmtId="3" fontId="4" fillId="3" borderId="0" xfId="4" applyNumberFormat="1" applyFont="1" applyFill="1" applyBorder="1" applyAlignment="1" applyProtection="1">
      <alignment horizontal="right" vertical="justify"/>
    </xf>
    <xf numFmtId="43" fontId="4" fillId="3" borderId="0" xfId="1" applyFont="1" applyFill="1" applyAlignment="1"/>
    <xf numFmtId="0" fontId="5" fillId="3" borderId="0" xfId="0" applyFont="1" applyFill="1" applyAlignment="1">
      <alignment vertical="justify"/>
    </xf>
    <xf numFmtId="166" fontId="4" fillId="3" borderId="0" xfId="3" applyNumberFormat="1" applyFont="1" applyFill="1" applyAlignment="1">
      <alignment horizontal="right" vertical="justify" wrapText="1" indent="1"/>
    </xf>
    <xf numFmtId="166" fontId="4" fillId="3" borderId="0" xfId="5" applyNumberFormat="1" applyFont="1" applyFill="1" applyBorder="1" applyAlignment="1" applyProtection="1">
      <alignment horizontal="right" vertical="justify" wrapText="1" indent="1"/>
    </xf>
    <xf numFmtId="166" fontId="4" fillId="3" borderId="0" xfId="4" applyNumberFormat="1" applyFont="1" applyFill="1" applyBorder="1" applyAlignment="1" applyProtection="1">
      <alignment horizontal="right" vertical="justify" wrapText="1" indent="1"/>
    </xf>
    <xf numFmtId="166" fontId="4" fillId="2" borderId="0" xfId="3" applyNumberFormat="1" applyFont="1" applyFill="1" applyAlignment="1">
      <alignment vertical="justify" wrapText="1"/>
    </xf>
    <xf numFmtId="166" fontId="8" fillId="3" borderId="0" xfId="3" applyNumberFormat="1" applyFont="1" applyFill="1" applyAlignment="1">
      <alignment vertical="justify" wrapText="1"/>
    </xf>
    <xf numFmtId="0" fontId="11" fillId="2" borderId="0" xfId="0" applyFont="1" applyFill="1"/>
    <xf numFmtId="166" fontId="4" fillId="3" borderId="0" xfId="3" applyNumberFormat="1" applyFont="1" applyFill="1" applyAlignment="1">
      <alignment vertical="justify" wrapText="1"/>
    </xf>
    <xf numFmtId="166" fontId="4" fillId="3" borderId="0" xfId="4" applyNumberFormat="1" applyFont="1" applyFill="1" applyBorder="1" applyAlignment="1" applyProtection="1">
      <alignment vertical="justify" wrapText="1"/>
    </xf>
    <xf numFmtId="166" fontId="4" fillId="3" borderId="0" xfId="5" applyNumberFormat="1" applyFont="1" applyFill="1" applyBorder="1" applyAlignment="1" applyProtection="1">
      <alignment vertical="justify" wrapText="1"/>
    </xf>
    <xf numFmtId="166" fontId="4" fillId="2" borderId="0" xfId="4" applyNumberFormat="1" applyFont="1" applyFill="1" applyBorder="1" applyAlignment="1" applyProtection="1">
      <alignment vertical="justify" wrapText="1"/>
    </xf>
    <xf numFmtId="166" fontId="4" fillId="3" borderId="2" xfId="3" applyNumberFormat="1" applyFont="1" applyFill="1" applyBorder="1" applyAlignment="1">
      <alignment vertical="justify" wrapText="1"/>
    </xf>
    <xf numFmtId="166" fontId="4" fillId="3" borderId="4" xfId="3" applyNumberFormat="1" applyFont="1" applyFill="1" applyBorder="1" applyAlignment="1">
      <alignment vertical="justify" wrapText="1"/>
    </xf>
    <xf numFmtId="166" fontId="4" fillId="3" borderId="4" xfId="5" applyNumberFormat="1" applyFont="1" applyFill="1" applyBorder="1" applyAlignment="1" applyProtection="1">
      <alignment vertical="justify" wrapText="1"/>
    </xf>
    <xf numFmtId="166" fontId="4" fillId="3" borderId="2" xfId="4" applyNumberFormat="1" applyFont="1" applyFill="1" applyBorder="1" applyAlignment="1" applyProtection="1">
      <alignment vertical="justify" wrapText="1"/>
    </xf>
    <xf numFmtId="166" fontId="4" fillId="3" borderId="0" xfId="3" applyNumberFormat="1" applyFont="1" applyFill="1" applyAlignment="1">
      <alignment vertical="justify"/>
    </xf>
    <xf numFmtId="166" fontId="4" fillId="3" borderId="0" xfId="0" applyNumberFormat="1" applyFont="1" applyFill="1"/>
    <xf numFmtId="0" fontId="8" fillId="3" borderId="0" xfId="0" applyFont="1" applyFill="1" applyAlignment="1">
      <alignment vertical="justify" wrapText="1"/>
    </xf>
    <xf numFmtId="0" fontId="8" fillId="3" borderId="0" xfId="0" applyFont="1" applyFill="1" applyAlignment="1">
      <alignment horizontal="left" vertical="justify" wrapText="1"/>
    </xf>
    <xf numFmtId="0" fontId="12" fillId="3" borderId="0" xfId="3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2" fillId="3" borderId="0" xfId="3" applyNumberFormat="1" applyFont="1" applyFill="1" applyAlignment="1">
      <alignment horizontal="center" vertical="center"/>
    </xf>
    <xf numFmtId="0" fontId="13" fillId="3" borderId="0" xfId="0" applyFont="1" applyFill="1"/>
    <xf numFmtId="0" fontId="14" fillId="2" borderId="0" xfId="0" applyFont="1" applyFill="1"/>
    <xf numFmtId="0" fontId="10" fillId="2" borderId="0" xfId="0" applyFont="1" applyFill="1"/>
    <xf numFmtId="166" fontId="8" fillId="2" borderId="0" xfId="3" applyNumberFormat="1" applyFont="1" applyFill="1" applyAlignment="1">
      <alignment vertical="justify" wrapText="1"/>
    </xf>
    <xf numFmtId="166" fontId="8" fillId="2" borderId="0" xfId="2" applyNumberFormat="1" applyFont="1" applyFill="1" applyBorder="1" applyAlignment="1">
      <alignment vertical="justify" wrapText="1"/>
    </xf>
    <xf numFmtId="166" fontId="4" fillId="2" borderId="0" xfId="5" applyNumberFormat="1" applyFont="1" applyFill="1" applyBorder="1" applyAlignment="1" applyProtection="1">
      <alignment vertical="justify" wrapText="1"/>
    </xf>
    <xf numFmtId="166" fontId="4" fillId="2" borderId="0" xfId="2" applyNumberFormat="1" applyFont="1" applyFill="1" applyBorder="1" applyAlignment="1" applyProtection="1">
      <alignment vertical="justify" wrapText="1"/>
    </xf>
    <xf numFmtId="166" fontId="4" fillId="2" borderId="2" xfId="3" applyNumberFormat="1" applyFont="1" applyFill="1" applyBorder="1" applyAlignment="1">
      <alignment vertical="justify" wrapText="1"/>
    </xf>
    <xf numFmtId="166" fontId="4" fillId="2" borderId="2" xfId="4" applyNumberFormat="1" applyFont="1" applyFill="1" applyBorder="1" applyAlignment="1" applyProtection="1">
      <alignment vertical="justify" wrapText="1"/>
    </xf>
    <xf numFmtId="166" fontId="4" fillId="2" borderId="2" xfId="2" applyNumberFormat="1" applyFont="1" applyFill="1" applyBorder="1" applyAlignment="1" applyProtection="1">
      <alignment vertical="justify" wrapText="1"/>
    </xf>
    <xf numFmtId="0" fontId="4" fillId="3" borderId="0" xfId="0" applyFont="1" applyFill="1" applyAlignment="1">
      <alignment vertical="justify" wrapText="1"/>
    </xf>
    <xf numFmtId="0" fontId="4" fillId="3" borderId="2" xfId="0" applyFont="1" applyFill="1" applyBorder="1" applyAlignment="1">
      <alignment vertical="justify" wrapText="1"/>
    </xf>
    <xf numFmtId="0" fontId="8" fillId="2" borderId="0" xfId="0" applyFont="1" applyFill="1" applyAlignment="1">
      <alignment vertical="justify" wrapText="1"/>
    </xf>
    <xf numFmtId="0" fontId="4" fillId="2" borderId="0" xfId="0" applyFont="1" applyFill="1" applyAlignment="1">
      <alignment vertical="justify" wrapText="1"/>
    </xf>
    <xf numFmtId="0" fontId="4" fillId="2" borderId="2" xfId="0" applyFont="1" applyFill="1" applyBorder="1" applyAlignment="1">
      <alignment vertical="justify" wrapText="1"/>
    </xf>
    <xf numFmtId="3" fontId="4" fillId="3" borderId="0" xfId="4" applyNumberFormat="1" applyFont="1" applyFill="1" applyBorder="1" applyAlignment="1" applyProtection="1">
      <alignment vertical="justify" wrapText="1"/>
    </xf>
    <xf numFmtId="3" fontId="4" fillId="2" borderId="0" xfId="4" applyNumberFormat="1" applyFont="1" applyFill="1" applyBorder="1" applyAlignment="1" applyProtection="1">
      <alignment vertical="justify" wrapText="1"/>
    </xf>
    <xf numFmtId="3" fontId="4" fillId="3" borderId="2" xfId="4" applyNumberFormat="1" applyFont="1" applyFill="1" applyBorder="1" applyAlignment="1" applyProtection="1">
      <alignment vertical="justify" wrapText="1"/>
    </xf>
    <xf numFmtId="3" fontId="8" fillId="3" borderId="0" xfId="3" applyNumberFormat="1" applyFont="1" applyFill="1" applyAlignment="1">
      <alignment vertical="justify" wrapText="1"/>
    </xf>
    <xf numFmtId="3" fontId="8" fillId="2" borderId="0" xfId="3" applyNumberFormat="1" applyFont="1" applyFill="1" applyAlignment="1">
      <alignment vertical="justify" wrapText="1"/>
    </xf>
    <xf numFmtId="3" fontId="4" fillId="2" borderId="2" xfId="4" applyNumberFormat="1" applyFont="1" applyFill="1" applyBorder="1" applyAlignment="1" applyProtection="1">
      <alignment vertical="justify" wrapText="1"/>
    </xf>
    <xf numFmtId="166" fontId="8" fillId="3" borderId="0" xfId="3" applyNumberFormat="1" applyFont="1" applyFill="1" applyAlignment="1">
      <alignment horizontal="right" vertical="justify" wrapText="1" indent="1"/>
    </xf>
    <xf numFmtId="166" fontId="4" fillId="3" borderId="2" xfId="4" applyNumberFormat="1" applyFont="1" applyFill="1" applyBorder="1" applyAlignment="1" applyProtection="1">
      <alignment horizontal="right" vertical="justify" wrapText="1" indent="1"/>
    </xf>
    <xf numFmtId="3" fontId="8" fillId="3" borderId="0" xfId="3" applyNumberFormat="1" applyFont="1" applyFill="1" applyAlignment="1">
      <alignment horizontal="right" vertical="justify" wrapText="1" indent="1"/>
    </xf>
    <xf numFmtId="166" fontId="4" fillId="3" borderId="2" xfId="3" applyNumberFormat="1" applyFont="1" applyFill="1" applyBorder="1" applyAlignment="1">
      <alignment horizontal="right" vertical="justify" wrapText="1" indent="1"/>
    </xf>
    <xf numFmtId="166" fontId="4" fillId="3" borderId="2" xfId="5" applyNumberFormat="1" applyFont="1" applyFill="1" applyBorder="1" applyAlignment="1" applyProtection="1">
      <alignment horizontal="right" vertical="justify" wrapText="1" indent="1"/>
    </xf>
    <xf numFmtId="0" fontId="5" fillId="3" borderId="0" xfId="3" applyFont="1" applyFill="1" applyAlignment="1">
      <alignment horizontal="left" vertical="center"/>
    </xf>
    <xf numFmtId="0" fontId="5" fillId="3" borderId="1" xfId="0" applyFont="1" applyFill="1" applyBorder="1" applyAlignment="1">
      <alignment vertical="justify"/>
    </xf>
    <xf numFmtId="0" fontId="15" fillId="2" borderId="0" xfId="0" applyFont="1" applyFill="1"/>
    <xf numFmtId="0" fontId="5" fillId="2" borderId="1" xfId="0" applyFont="1" applyFill="1" applyBorder="1" applyAlignment="1">
      <alignment vertical="justify"/>
    </xf>
    <xf numFmtId="0" fontId="5" fillId="2" borderId="0" xfId="3" applyFont="1" applyFill="1" applyAlignment="1">
      <alignment vertical="center"/>
    </xf>
    <xf numFmtId="43" fontId="5" fillId="3" borderId="0" xfId="1" applyFont="1" applyFill="1"/>
    <xf numFmtId="0" fontId="4" fillId="3" borderId="1" xfId="0" applyFont="1" applyFill="1" applyBorder="1" applyAlignment="1">
      <alignment vertical="justify"/>
    </xf>
    <xf numFmtId="3" fontId="4" fillId="2" borderId="0" xfId="3" applyNumberFormat="1" applyFont="1" applyFill="1" applyAlignment="1">
      <alignment horizontal="right" vertical="justify" wrapText="1"/>
    </xf>
    <xf numFmtId="3" fontId="4" fillId="3" borderId="0" xfId="4" applyNumberFormat="1" applyFont="1" applyFill="1" applyBorder="1" applyAlignment="1" applyProtection="1">
      <alignment horizontal="right" vertical="justify" wrapText="1"/>
    </xf>
    <xf numFmtId="166" fontId="4" fillId="3" borderId="0" xfId="4" applyNumberFormat="1" applyFont="1" applyFill="1" applyBorder="1" applyAlignment="1" applyProtection="1">
      <alignment horizontal="right" vertical="justify" wrapText="1"/>
    </xf>
    <xf numFmtId="3" fontId="4" fillId="3" borderId="2" xfId="4" applyNumberFormat="1" applyFont="1" applyFill="1" applyBorder="1" applyAlignment="1" applyProtection="1">
      <alignment horizontal="right" vertical="justify" wrapText="1"/>
    </xf>
    <xf numFmtId="166" fontId="4" fillId="3" borderId="2" xfId="4" applyNumberFormat="1" applyFont="1" applyFill="1" applyBorder="1" applyAlignment="1" applyProtection="1">
      <alignment horizontal="right" vertical="justify" wrapText="1"/>
    </xf>
    <xf numFmtId="166" fontId="5" fillId="3" borderId="1" xfId="0" applyNumberFormat="1" applyFont="1" applyFill="1" applyBorder="1" applyAlignment="1">
      <alignment vertical="justify"/>
    </xf>
    <xf numFmtId="3" fontId="4" fillId="2" borderId="4" xfId="4" applyNumberFormat="1" applyFont="1" applyFill="1" applyBorder="1" applyAlignment="1" applyProtection="1">
      <alignment vertical="justify" wrapText="1"/>
    </xf>
    <xf numFmtId="166" fontId="8" fillId="3" borderId="0" xfId="3" applyNumberFormat="1" applyFont="1" applyFill="1" applyAlignment="1">
      <alignment horizontal="right" vertical="justify" wrapText="1"/>
    </xf>
    <xf numFmtId="3" fontId="8" fillId="3" borderId="0" xfId="3" applyNumberFormat="1" applyFont="1" applyFill="1" applyAlignment="1">
      <alignment horizontal="right" vertical="justify" wrapText="1"/>
    </xf>
    <xf numFmtId="166" fontId="4" fillId="2" borderId="0" xfId="3" applyNumberFormat="1" applyFont="1" applyFill="1" applyAlignment="1">
      <alignment horizontal="right" vertical="justify" wrapText="1"/>
    </xf>
    <xf numFmtId="166" fontId="4" fillId="2" borderId="2" xfId="3" applyNumberFormat="1" applyFont="1" applyFill="1" applyBorder="1" applyAlignment="1">
      <alignment horizontal="right" vertical="justify" wrapText="1"/>
    </xf>
    <xf numFmtId="3" fontId="4" fillId="2" borderId="2" xfId="3" applyNumberFormat="1" applyFont="1" applyFill="1" applyBorder="1" applyAlignment="1">
      <alignment horizontal="right" vertical="justify" wrapText="1"/>
    </xf>
    <xf numFmtId="0" fontId="4" fillId="3" borderId="0" xfId="3" applyFont="1" applyFill="1"/>
    <xf numFmtId="0" fontId="17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 indent="1"/>
    </xf>
    <xf numFmtId="0" fontId="0" fillId="2" borderId="0" xfId="0" applyFill="1" applyAlignment="1">
      <alignment horizontal="left" vertical="top"/>
    </xf>
    <xf numFmtId="0" fontId="18" fillId="2" borderId="0" xfId="0" applyFont="1" applyFill="1" applyAlignment="1">
      <alignment horizontal="left" vertical="top" wrapText="1"/>
    </xf>
    <xf numFmtId="1" fontId="19" fillId="2" borderId="0" xfId="0" applyNumberFormat="1" applyFont="1" applyFill="1" applyAlignment="1">
      <alignment horizontal="center" vertical="top" shrinkToFit="1"/>
    </xf>
    <xf numFmtId="3" fontId="19" fillId="2" borderId="0" xfId="0" applyNumberFormat="1" applyFont="1" applyFill="1" applyAlignment="1">
      <alignment horizontal="right" vertical="top" indent="4" shrinkToFit="1"/>
    </xf>
    <xf numFmtId="3" fontId="19" fillId="2" borderId="0" xfId="0" applyNumberFormat="1" applyFont="1" applyFill="1" applyAlignment="1">
      <alignment horizontal="right" vertical="top" indent="3" shrinkToFit="1"/>
    </xf>
    <xf numFmtId="166" fontId="7" fillId="2" borderId="0" xfId="0" applyNumberFormat="1" applyFont="1" applyFill="1"/>
    <xf numFmtId="0" fontId="0" fillId="2" borderId="0" xfId="0" applyFill="1" applyAlignment="1">
      <alignment horizontal="right"/>
    </xf>
    <xf numFmtId="0" fontId="4" fillId="3" borderId="0" xfId="3" applyFont="1" applyFill="1" applyAlignment="1">
      <alignment horizontal="center"/>
    </xf>
    <xf numFmtId="0" fontId="4" fillId="3" borderId="0" xfId="3" applyFont="1" applyFill="1" applyAlignment="1">
      <alignment horizontal="left"/>
    </xf>
    <xf numFmtId="0" fontId="8" fillId="3" borderId="1" xfId="3" applyFont="1" applyFill="1" applyBorder="1" applyAlignment="1">
      <alignment horizontal="left" vertical="center" wrapText="1"/>
    </xf>
    <xf numFmtId="0" fontId="8" fillId="3" borderId="2" xfId="3" applyFont="1" applyFill="1" applyBorder="1" applyAlignment="1">
      <alignment horizontal="left" vertical="center" wrapText="1"/>
    </xf>
    <xf numFmtId="0" fontId="4" fillId="2" borderId="0" xfId="3" applyFont="1" applyFill="1" applyAlignment="1">
      <alignment horizontal="left" vertical="center" wrapText="1" indent="1"/>
    </xf>
    <xf numFmtId="0" fontId="4" fillId="2" borderId="0" xfId="3" applyFont="1" applyFill="1" applyAlignment="1">
      <alignment horizontal="center"/>
    </xf>
    <xf numFmtId="0" fontId="4" fillId="2" borderId="0" xfId="3" applyFont="1" applyFill="1" applyAlignment="1">
      <alignment horizontal="left"/>
    </xf>
    <xf numFmtId="0" fontId="8" fillId="2" borderId="1" xfId="3" applyFont="1" applyFill="1" applyBorder="1" applyAlignment="1">
      <alignment horizontal="left" vertical="center" wrapText="1"/>
    </xf>
    <xf numFmtId="0" fontId="8" fillId="2" borderId="2" xfId="3" applyFont="1" applyFill="1" applyBorder="1" applyAlignment="1">
      <alignment horizontal="left" vertical="center" wrapText="1"/>
    </xf>
    <xf numFmtId="0" fontId="4" fillId="3" borderId="0" xfId="3" applyFont="1" applyFill="1" applyAlignment="1">
      <alignment horizontal="left" vertical="center" wrapText="1" indent="1"/>
    </xf>
    <xf numFmtId="0" fontId="5" fillId="3" borderId="0" xfId="3" applyFont="1" applyFill="1" applyAlignment="1">
      <alignment vertical="center" wrapText="1"/>
    </xf>
    <xf numFmtId="0" fontId="16" fillId="2" borderId="0" xfId="0" applyFont="1" applyFill="1" applyAlignment="1">
      <alignment horizontal="left" vertical="top" wrapText="1" indent="11"/>
    </xf>
    <xf numFmtId="0" fontId="0" fillId="2" borderId="0" xfId="0" applyFill="1" applyAlignment="1">
      <alignment horizontal="left" vertical="top" wrapText="1" indent="14"/>
    </xf>
  </cellXfs>
  <cellStyles count="6">
    <cellStyle name="Comma 10" xfId="5" xr:uid="{00000000-0005-0000-0000-000000000000}"/>
    <cellStyle name="Millares" xfId="1" builtinId="3"/>
    <cellStyle name="Normal" xfId="0" builtinId="0"/>
    <cellStyle name="Normal_Agua Caasd RDC 2" xfId="3" xr:uid="{00000000-0005-0000-0000-000003000000}"/>
    <cellStyle name="Percent 2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876300</xdr:colOff>
      <xdr:row>0</xdr:row>
      <xdr:rowOff>114300</xdr:rowOff>
    </xdr:from>
    <xdr:to>
      <xdr:col>8</xdr:col>
      <xdr:colOff>304800</xdr:colOff>
      <xdr:row>2</xdr:row>
      <xdr:rowOff>19050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7CC2F7BB-DA9E-4B92-A5FE-146E70FD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114300"/>
          <a:ext cx="466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638175</xdr:colOff>
      <xdr:row>0</xdr:row>
      <xdr:rowOff>123825</xdr:rowOff>
    </xdr:from>
    <xdr:to>
      <xdr:col>11</xdr:col>
      <xdr:colOff>19050</xdr:colOff>
      <xdr:row>2</xdr:row>
      <xdr:rowOff>28575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CA815A1C-5CF9-43C4-B627-D140869B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23825"/>
          <a:ext cx="466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11</xdr:col>
      <xdr:colOff>857250</xdr:colOff>
      <xdr:row>2</xdr:row>
      <xdr:rowOff>9024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83420191-CE63-4E40-B919-1EEE75F6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38100"/>
          <a:ext cx="476250" cy="275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0</xdr:row>
      <xdr:rowOff>114300</xdr:rowOff>
    </xdr:from>
    <xdr:to>
      <xdr:col>8</xdr:col>
      <xdr:colOff>371475</xdr:colOff>
      <xdr:row>2</xdr:row>
      <xdr:rowOff>85224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F2482B2E-AF50-4962-B0F1-629FFA65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14300"/>
          <a:ext cx="476250" cy="275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106680</xdr:rowOff>
    </xdr:from>
    <xdr:to>
      <xdr:col>8</xdr:col>
      <xdr:colOff>95250</xdr:colOff>
      <xdr:row>2</xdr:row>
      <xdr:rowOff>75699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A3009DAE-2494-4662-92C1-141C9FDB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06680"/>
          <a:ext cx="476250" cy="350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106680</xdr:rowOff>
    </xdr:from>
    <xdr:to>
      <xdr:col>8</xdr:col>
      <xdr:colOff>95250</xdr:colOff>
      <xdr:row>2</xdr:row>
      <xdr:rowOff>75699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A0062AAD-3518-4186-AF3F-A489318B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520" y="108585"/>
          <a:ext cx="480060" cy="34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704850</xdr:colOff>
      <xdr:row>0</xdr:row>
      <xdr:rowOff>114300</xdr:rowOff>
    </xdr:from>
    <xdr:to>
      <xdr:col>9</xdr:col>
      <xdr:colOff>238125</xdr:colOff>
      <xdr:row>2</xdr:row>
      <xdr:rowOff>19050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235C24A2-3F7E-40EC-953D-438F6D186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114300"/>
          <a:ext cx="466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104775</xdr:rowOff>
    </xdr:from>
    <xdr:to>
      <xdr:col>8</xdr:col>
      <xdr:colOff>19050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6B80D70D-8A38-42D6-A50C-4EE325E5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10477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0</xdr:row>
      <xdr:rowOff>104775</xdr:rowOff>
    </xdr:from>
    <xdr:to>
      <xdr:col>8</xdr:col>
      <xdr:colOff>0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E0EAF37D-6D1C-4637-A921-0624EC097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10477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0</xdr:row>
      <xdr:rowOff>123825</xdr:rowOff>
    </xdr:from>
    <xdr:to>
      <xdr:col>11</xdr:col>
      <xdr:colOff>9525</xdr:colOff>
      <xdr:row>2</xdr:row>
      <xdr:rowOff>28575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65C9E8E9-E7E0-4D22-9FD1-2D4726C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12382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0</xdr:row>
      <xdr:rowOff>104775</xdr:rowOff>
    </xdr:from>
    <xdr:to>
      <xdr:col>10</xdr:col>
      <xdr:colOff>971550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77465745-DAD9-4E05-BEDA-AB902D920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477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561975</xdr:colOff>
      <xdr:row>0</xdr:row>
      <xdr:rowOff>123825</xdr:rowOff>
    </xdr:from>
    <xdr:to>
      <xdr:col>10</xdr:col>
      <xdr:colOff>1028700</xdr:colOff>
      <xdr:row>2</xdr:row>
      <xdr:rowOff>28575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24B157F7-EC1F-43B6-BF39-7F4836844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2382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0</xdr:row>
      <xdr:rowOff>123825</xdr:rowOff>
    </xdr:from>
    <xdr:to>
      <xdr:col>11</xdr:col>
      <xdr:colOff>38100</xdr:colOff>
      <xdr:row>2</xdr:row>
      <xdr:rowOff>28575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F0DA761C-338A-414A-ADC8-9E9793F9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2382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638175</xdr:colOff>
      <xdr:row>0</xdr:row>
      <xdr:rowOff>123825</xdr:rowOff>
    </xdr:from>
    <xdr:to>
      <xdr:col>11</xdr:col>
      <xdr:colOff>19050</xdr:colOff>
      <xdr:row>2</xdr:row>
      <xdr:rowOff>28575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52CAE95C-6F0D-49B6-8ACF-F3F12C981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23825"/>
          <a:ext cx="466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workbookViewId="0">
      <selection activeCell="A2" sqref="A2:H2"/>
    </sheetView>
  </sheetViews>
  <sheetFormatPr baseColWidth="10" defaultColWidth="11.42578125" defaultRowHeight="12"/>
  <cols>
    <col min="1" max="1" width="13.85546875" style="12" customWidth="1"/>
    <col min="2" max="8" width="15.5703125" style="12" customWidth="1"/>
    <col min="9" max="16384" width="11.42578125" style="12"/>
  </cols>
  <sheetData>
    <row r="1" spans="1:8">
      <c r="A1" s="118"/>
      <c r="B1" s="118"/>
      <c r="C1" s="118"/>
      <c r="D1" s="118"/>
      <c r="E1" s="118"/>
      <c r="F1" s="118"/>
      <c r="G1" s="118"/>
      <c r="H1" s="118"/>
    </row>
    <row r="2" spans="1:8">
      <c r="A2" s="119" t="s">
        <v>87</v>
      </c>
      <c r="B2" s="119"/>
      <c r="C2" s="119"/>
      <c r="D2" s="119"/>
      <c r="E2" s="119"/>
      <c r="F2" s="119"/>
      <c r="G2" s="119"/>
      <c r="H2" s="119"/>
    </row>
    <row r="3" spans="1:8">
      <c r="A3" s="2"/>
      <c r="B3" s="3"/>
      <c r="C3" s="3"/>
      <c r="D3" s="4"/>
      <c r="E3" s="4"/>
      <c r="F3" s="5"/>
      <c r="G3" s="6"/>
      <c r="H3" s="6"/>
    </row>
    <row r="4" spans="1:8" ht="66.75" customHeight="1">
      <c r="A4" s="120" t="s">
        <v>0</v>
      </c>
      <c r="B4" s="13" t="s">
        <v>31</v>
      </c>
      <c r="C4" s="13" t="s">
        <v>32</v>
      </c>
      <c r="D4" s="13" t="s">
        <v>33</v>
      </c>
      <c r="E4" s="13" t="s">
        <v>1</v>
      </c>
      <c r="F4" s="13" t="s">
        <v>34</v>
      </c>
      <c r="G4" s="13" t="s">
        <v>35</v>
      </c>
      <c r="H4" s="13" t="s">
        <v>36</v>
      </c>
    </row>
    <row r="5" spans="1:8" ht="14.25">
      <c r="A5" s="121"/>
      <c r="B5" s="14" t="s">
        <v>37</v>
      </c>
      <c r="C5" s="14" t="s">
        <v>37</v>
      </c>
      <c r="D5" s="14" t="s">
        <v>37</v>
      </c>
      <c r="E5" s="14" t="s">
        <v>37</v>
      </c>
      <c r="F5" s="14" t="s">
        <v>2</v>
      </c>
      <c r="G5" s="15"/>
      <c r="H5" s="15"/>
    </row>
    <row r="6" spans="1:8" ht="14.25" customHeight="1">
      <c r="A6" s="58" t="s">
        <v>68</v>
      </c>
      <c r="B6" s="84">
        <f>AVERAGE(B7:B18)</f>
        <v>1347184.3692431927</v>
      </c>
      <c r="C6" s="84">
        <f t="shared" ref="C6:H6" si="0">AVERAGE(C7:C18)</f>
        <v>801458.40000000026</v>
      </c>
      <c r="D6" s="84">
        <f t="shared" si="0"/>
        <v>127542.045</v>
      </c>
      <c r="E6" s="84">
        <f t="shared" si="0"/>
        <v>30600</v>
      </c>
      <c r="F6" s="84">
        <f t="shared" si="0"/>
        <v>23.995673292268066</v>
      </c>
      <c r="G6" s="86">
        <f t="shared" si="0"/>
        <v>366953.75</v>
      </c>
      <c r="H6" s="86">
        <f t="shared" si="0"/>
        <v>88111.5</v>
      </c>
    </row>
    <row r="7" spans="1:8">
      <c r="A7" s="73" t="s">
        <v>3</v>
      </c>
      <c r="B7" s="42">
        <f>(360.63/264.18)*1000000</f>
        <v>1365091.9827390416</v>
      </c>
      <c r="C7" s="42">
        <f>(3339410*300*80%/1000)</f>
        <v>801458.4</v>
      </c>
      <c r="D7" s="43">
        <v>124746.13</v>
      </c>
      <c r="E7" s="42">
        <v>30600</v>
      </c>
      <c r="F7" s="44">
        <f>E7/D7*100</f>
        <v>24.529819081361481</v>
      </c>
      <c r="G7" s="9">
        <v>363213</v>
      </c>
      <c r="H7" s="9">
        <v>87246</v>
      </c>
    </row>
    <row r="8" spans="1:8">
      <c r="A8" s="73" t="s">
        <v>4</v>
      </c>
      <c r="B8" s="42">
        <f>(371.81/264.18)*1000000</f>
        <v>1407411.6132939663</v>
      </c>
      <c r="C8" s="42">
        <f>(3339410*300*80%/1000)</f>
        <v>801458.4</v>
      </c>
      <c r="D8" s="43">
        <v>125051.91</v>
      </c>
      <c r="E8" s="42">
        <v>30600</v>
      </c>
      <c r="F8" s="44">
        <f t="shared" ref="F8:F18" si="1">E8/D8*100</f>
        <v>24.469838165606586</v>
      </c>
      <c r="G8" s="9">
        <v>366944</v>
      </c>
      <c r="H8" s="9">
        <v>87235</v>
      </c>
    </row>
    <row r="9" spans="1:8">
      <c r="A9" s="73" t="s">
        <v>5</v>
      </c>
      <c r="B9" s="42">
        <f>(345.44/264.18)*1000000</f>
        <v>1307593.3075933075</v>
      </c>
      <c r="C9" s="42">
        <f>(3339410*300*80%/1000)</f>
        <v>801458.4</v>
      </c>
      <c r="D9" s="43">
        <v>125731.24</v>
      </c>
      <c r="E9" s="42">
        <v>30600</v>
      </c>
      <c r="F9" s="44">
        <f t="shared" si="1"/>
        <v>24.337626830054326</v>
      </c>
      <c r="G9" s="9">
        <v>367275</v>
      </c>
      <c r="H9" s="9">
        <v>87490</v>
      </c>
    </row>
    <row r="10" spans="1:8">
      <c r="A10" s="73" t="s">
        <v>6</v>
      </c>
      <c r="B10" s="42">
        <f>(339.24/264.18)*1000000</f>
        <v>1284124.4605950487</v>
      </c>
      <c r="C10" s="42">
        <f t="shared" ref="C10:C18" si="2">(3339410*300*80%/1000)</f>
        <v>801458.4</v>
      </c>
      <c r="D10" s="43">
        <v>127143.67999999999</v>
      </c>
      <c r="E10" s="42">
        <v>30600</v>
      </c>
      <c r="F10" s="44">
        <f t="shared" si="1"/>
        <v>24.067259969193909</v>
      </c>
      <c r="G10" s="9">
        <v>367275</v>
      </c>
      <c r="H10" s="9">
        <v>88275</v>
      </c>
    </row>
    <row r="11" spans="1:8">
      <c r="A11" s="73" t="s">
        <v>7</v>
      </c>
      <c r="B11" s="42">
        <f>(333.65/264.18)*1000000</f>
        <v>1262964.6453175864</v>
      </c>
      <c r="C11" s="42">
        <f t="shared" si="2"/>
        <v>801458.4</v>
      </c>
      <c r="D11" s="43">
        <v>127447.24</v>
      </c>
      <c r="E11" s="42">
        <v>30600</v>
      </c>
      <c r="F11" s="44">
        <f t="shared" si="1"/>
        <v>24.009935405427374</v>
      </c>
      <c r="G11" s="9">
        <v>367308</v>
      </c>
      <c r="H11" s="9">
        <v>88374</v>
      </c>
    </row>
    <row r="12" spans="1:8">
      <c r="A12" s="73" t="s">
        <v>8</v>
      </c>
      <c r="B12" s="42">
        <f>(351.41/264.18)*1000000</f>
        <v>1330191.5360738891</v>
      </c>
      <c r="C12" s="42">
        <f t="shared" si="2"/>
        <v>801458.4</v>
      </c>
      <c r="D12" s="43">
        <v>127643.23</v>
      </c>
      <c r="E12" s="42">
        <v>30600</v>
      </c>
      <c r="F12" s="44">
        <f t="shared" si="1"/>
        <v>23.973069312019135</v>
      </c>
      <c r="G12" s="9">
        <v>367358</v>
      </c>
      <c r="H12" s="9">
        <v>88374</v>
      </c>
    </row>
    <row r="13" spans="1:8">
      <c r="A13" s="73" t="s">
        <v>9</v>
      </c>
      <c r="B13" s="42">
        <f>(344.96/264.18)*1000000</f>
        <v>1305776.3645998938</v>
      </c>
      <c r="C13" s="42">
        <f t="shared" si="2"/>
        <v>801458.4</v>
      </c>
      <c r="D13" s="43">
        <v>127814.91</v>
      </c>
      <c r="E13" s="42">
        <v>30600</v>
      </c>
      <c r="F13" s="44">
        <f t="shared" si="1"/>
        <v>23.940868870462765</v>
      </c>
      <c r="G13" s="9">
        <v>367354</v>
      </c>
      <c r="H13" s="9">
        <v>88374</v>
      </c>
    </row>
    <row r="14" spans="1:8">
      <c r="A14" s="73" t="s">
        <v>10</v>
      </c>
      <c r="B14" s="42">
        <f>(339.17/264.18)*1000000</f>
        <v>1283859.4897418427</v>
      </c>
      <c r="C14" s="42">
        <f t="shared" si="2"/>
        <v>801458.4</v>
      </c>
      <c r="D14" s="43">
        <v>128192.15</v>
      </c>
      <c r="E14" s="42">
        <v>30600</v>
      </c>
      <c r="F14" s="44">
        <f t="shared" si="1"/>
        <v>23.870416402252399</v>
      </c>
      <c r="G14" s="9">
        <v>367414</v>
      </c>
      <c r="H14" s="9">
        <v>88387</v>
      </c>
    </row>
    <row r="15" spans="1:8">
      <c r="A15" s="73" t="s">
        <v>11</v>
      </c>
      <c r="B15" s="42">
        <f>(374.59/264.18)*1000000</f>
        <v>1417934.7414641529</v>
      </c>
      <c r="C15" s="42">
        <f t="shared" si="2"/>
        <v>801458.4</v>
      </c>
      <c r="D15" s="43">
        <v>128811.8</v>
      </c>
      <c r="E15" s="42">
        <v>30600</v>
      </c>
      <c r="F15" s="44">
        <f t="shared" si="1"/>
        <v>23.755587609209712</v>
      </c>
      <c r="G15" s="9">
        <v>367414</v>
      </c>
      <c r="H15" s="9">
        <v>88387</v>
      </c>
    </row>
    <row r="16" spans="1:8">
      <c r="A16" s="73" t="s">
        <v>12</v>
      </c>
      <c r="B16" s="42">
        <f>(361.11/264.18)*1000000</f>
        <v>1366908.9257324552</v>
      </c>
      <c r="C16" s="42">
        <f t="shared" si="2"/>
        <v>801458.4</v>
      </c>
      <c r="D16" s="43">
        <v>129153.67</v>
      </c>
      <c r="E16" s="42">
        <v>30600</v>
      </c>
      <c r="F16" s="44">
        <f t="shared" si="1"/>
        <v>23.692706525490141</v>
      </c>
      <c r="G16" s="9">
        <v>367475</v>
      </c>
      <c r="H16" s="9">
        <v>88456</v>
      </c>
    </row>
    <row r="17" spans="1:8">
      <c r="A17" s="73" t="s">
        <v>13</v>
      </c>
      <c r="B17" s="42">
        <f>(350.84/264.18)*1000000</f>
        <v>1328033.9162692104</v>
      </c>
      <c r="C17" s="42">
        <f t="shared" si="2"/>
        <v>801458.4</v>
      </c>
      <c r="D17" s="43">
        <v>129387.97</v>
      </c>
      <c r="E17" s="42">
        <v>30600</v>
      </c>
      <c r="F17" s="44">
        <f t="shared" si="1"/>
        <v>23.649802991730994</v>
      </c>
      <c r="G17" s="9">
        <v>367499</v>
      </c>
      <c r="H17" s="9">
        <v>88483</v>
      </c>
    </row>
    <row r="18" spans="1:8">
      <c r="A18" s="74" t="s">
        <v>14</v>
      </c>
      <c r="B18" s="87">
        <f>(397.94/264.18)*1000000</f>
        <v>1506321.447497918</v>
      </c>
      <c r="C18" s="87">
        <f t="shared" si="2"/>
        <v>801458.4</v>
      </c>
      <c r="D18" s="88">
        <v>129380.61</v>
      </c>
      <c r="E18" s="87">
        <v>30600</v>
      </c>
      <c r="F18" s="85">
        <f t="shared" si="1"/>
        <v>23.651148344408021</v>
      </c>
      <c r="G18" s="11">
        <v>366916</v>
      </c>
      <c r="H18" s="11">
        <v>88257</v>
      </c>
    </row>
    <row r="19" spans="1:8" ht="10.9" customHeight="1">
      <c r="A19" s="91" t="s">
        <v>78</v>
      </c>
      <c r="B19" s="90"/>
      <c r="C19" s="90"/>
      <c r="D19" s="7"/>
      <c r="E19" s="10"/>
      <c r="F19" s="8"/>
      <c r="G19" s="9"/>
      <c r="H19" s="9"/>
    </row>
    <row r="20" spans="1:8" ht="11.25" customHeight="1">
      <c r="A20" s="29" t="s">
        <v>63</v>
      </c>
      <c r="B20" s="29"/>
      <c r="C20" s="29"/>
      <c r="D20" s="29"/>
      <c r="E20" s="29"/>
      <c r="F20" s="29"/>
      <c r="G20" s="29"/>
      <c r="H20" s="29"/>
    </row>
    <row r="21" spans="1:8" ht="11.25" customHeight="1">
      <c r="A21" s="29" t="s">
        <v>42</v>
      </c>
      <c r="B21" s="29"/>
      <c r="C21" s="29"/>
      <c r="D21" s="29"/>
      <c r="E21" s="29"/>
      <c r="F21" s="29"/>
      <c r="G21" s="29"/>
      <c r="H21" s="29"/>
    </row>
    <row r="22" spans="1:8" ht="11.25" customHeight="1">
      <c r="A22" s="29" t="s">
        <v>27</v>
      </c>
      <c r="B22" s="29"/>
      <c r="C22" s="29"/>
      <c r="D22" s="29"/>
      <c r="E22" s="29"/>
      <c r="F22" s="29"/>
      <c r="G22" s="29"/>
      <c r="H22" s="29"/>
    </row>
    <row r="23" spans="1:8" ht="11.25" customHeight="1">
      <c r="A23" s="29" t="s">
        <v>28</v>
      </c>
      <c r="B23" s="29"/>
      <c r="C23" s="29"/>
      <c r="D23" s="29"/>
      <c r="E23" s="29"/>
      <c r="F23" s="29"/>
      <c r="G23" s="29"/>
      <c r="H23" s="29"/>
    </row>
    <row r="24" spans="1:8" ht="11.25" customHeight="1">
      <c r="A24" s="29" t="s">
        <v>29</v>
      </c>
      <c r="B24" s="29"/>
      <c r="C24" s="29"/>
      <c r="D24" s="29"/>
      <c r="E24" s="29"/>
      <c r="F24" s="29"/>
      <c r="G24" s="29"/>
      <c r="H24" s="29"/>
    </row>
    <row r="25" spans="1:8" ht="11.25" customHeight="1">
      <c r="A25" s="29" t="s">
        <v>30</v>
      </c>
      <c r="B25" s="29"/>
      <c r="C25" s="29"/>
      <c r="D25" s="29"/>
      <c r="E25" s="29"/>
      <c r="F25" s="29"/>
      <c r="G25" s="29"/>
      <c r="H25" s="29"/>
    </row>
    <row r="26" spans="1:8" ht="11.25" customHeight="1">
      <c r="A26" s="29" t="s">
        <v>79</v>
      </c>
      <c r="B26" s="29"/>
      <c r="C26" s="29"/>
      <c r="D26" s="29"/>
      <c r="E26" s="29"/>
      <c r="F26" s="29"/>
      <c r="G26" s="29"/>
      <c r="H26" s="29"/>
    </row>
    <row r="27" spans="1:8" ht="11.25" customHeight="1">
      <c r="A27" s="29" t="s">
        <v>16</v>
      </c>
      <c r="B27" s="29"/>
      <c r="C27" s="29"/>
      <c r="D27" s="29"/>
      <c r="E27" s="29"/>
      <c r="F27" s="29"/>
      <c r="G27" s="29"/>
      <c r="H27" s="29"/>
    </row>
  </sheetData>
  <mergeCells count="3">
    <mergeCell ref="A1:H1"/>
    <mergeCell ref="A2:H2"/>
    <mergeCell ref="A4:A5"/>
  </mergeCells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9"/>
  <sheetViews>
    <sheetView workbookViewId="0">
      <selection activeCell="A2" sqref="A2:K2"/>
    </sheetView>
  </sheetViews>
  <sheetFormatPr baseColWidth="10" defaultColWidth="11.42578125" defaultRowHeight="15"/>
  <cols>
    <col min="1" max="1" width="13.7109375" style="1" customWidth="1"/>
    <col min="2" max="2" width="16.5703125" style="1" customWidth="1"/>
    <col min="3" max="3" width="14.7109375" style="1" customWidth="1"/>
    <col min="4" max="4" width="15.5703125" style="1" customWidth="1"/>
    <col min="5" max="11" width="14.7109375" style="1" customWidth="1"/>
    <col min="12" max="16384" width="11.42578125" style="1"/>
  </cols>
  <sheetData>
    <row r="1" spans="1:1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7"/>
    </row>
    <row r="2" spans="1:12">
      <c r="A2" s="119" t="s">
        <v>96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47"/>
    </row>
    <row r="3" spans="1:12">
      <c r="A3" s="2"/>
      <c r="B3" s="3"/>
      <c r="C3" s="3"/>
      <c r="D3" s="4"/>
      <c r="E3" s="4"/>
      <c r="F3" s="5"/>
      <c r="G3" s="5"/>
      <c r="H3" s="6"/>
      <c r="I3" s="6"/>
      <c r="J3" s="6"/>
      <c r="K3" s="6"/>
      <c r="L3" s="47"/>
    </row>
    <row r="4" spans="1:12" ht="62.25">
      <c r="A4" s="120" t="s">
        <v>0</v>
      </c>
      <c r="B4" s="13" t="s">
        <v>31</v>
      </c>
      <c r="C4" s="13" t="s">
        <v>32</v>
      </c>
      <c r="D4" s="13" t="s">
        <v>33</v>
      </c>
      <c r="E4" s="13" t="s">
        <v>1</v>
      </c>
      <c r="F4" s="13" t="s">
        <v>34</v>
      </c>
      <c r="G4" s="13" t="s">
        <v>47</v>
      </c>
      <c r="H4" s="13" t="s">
        <v>48</v>
      </c>
      <c r="I4" s="13" t="s">
        <v>24</v>
      </c>
      <c r="J4" s="15" t="s">
        <v>20</v>
      </c>
      <c r="K4" s="15" t="s">
        <v>21</v>
      </c>
      <c r="L4" s="47"/>
    </row>
    <row r="5" spans="1:12">
      <c r="A5" s="121"/>
      <c r="B5" s="15" t="s">
        <v>37</v>
      </c>
      <c r="C5" s="15" t="s">
        <v>37</v>
      </c>
      <c r="D5" s="15" t="s">
        <v>37</v>
      </c>
      <c r="E5" s="15" t="s">
        <v>37</v>
      </c>
      <c r="F5" s="15" t="s">
        <v>2</v>
      </c>
      <c r="G5" s="15" t="s">
        <v>2</v>
      </c>
      <c r="H5" s="15"/>
      <c r="I5" s="15"/>
      <c r="J5" s="27"/>
      <c r="K5" s="15" t="s">
        <v>2</v>
      </c>
      <c r="L5" s="47"/>
    </row>
    <row r="6" spans="1:12" ht="12" customHeight="1">
      <c r="A6" s="28" t="s">
        <v>67</v>
      </c>
      <c r="B6" s="46">
        <f>AVERAGE(B7:B18)</f>
        <v>1505621.1673858732</v>
      </c>
      <c r="C6" s="46">
        <f>AVERAGE(C7:C18)</f>
        <v>912950.07109535637</v>
      </c>
      <c r="D6" s="46">
        <f>AVERAGE(D7:D18)</f>
        <v>243649.59066666666</v>
      </c>
      <c r="E6" s="46">
        <f t="shared" ref="E6:K6" si="0">AVERAGE(E7:E18)</f>
        <v>66108.123333333337</v>
      </c>
      <c r="F6" s="46">
        <f t="shared" si="0"/>
        <v>27.108582189873204</v>
      </c>
      <c r="G6" s="46">
        <f t="shared" si="0"/>
        <v>7.2377204497638594</v>
      </c>
      <c r="H6" s="81">
        <f>AVERAGE(H7:H18)</f>
        <v>397755</v>
      </c>
      <c r="I6" s="81">
        <f>AVERAGE(I7:I18)</f>
        <v>153911.25</v>
      </c>
      <c r="J6" s="81">
        <f t="shared" si="0"/>
        <v>688622.33333333337</v>
      </c>
      <c r="K6" s="46">
        <f t="shared" si="0"/>
        <v>22.350250000000003</v>
      </c>
      <c r="L6" s="47"/>
    </row>
    <row r="7" spans="1:12" ht="12" customHeight="1">
      <c r="A7" s="73" t="s">
        <v>3</v>
      </c>
      <c r="B7" s="45">
        <v>1497918.0861533801</v>
      </c>
      <c r="C7" s="48">
        <v>907145.8</v>
      </c>
      <c r="D7" s="48">
        <v>243513.07</v>
      </c>
      <c r="E7" s="48">
        <v>59089.83</v>
      </c>
      <c r="F7" s="48">
        <f>E7/D7*100</f>
        <v>24.265568168476541</v>
      </c>
      <c r="G7" s="49">
        <f>E7/C7*100</f>
        <v>6.5138183961166991</v>
      </c>
      <c r="H7" s="78">
        <v>395720</v>
      </c>
      <c r="I7" s="79">
        <v>151921</v>
      </c>
      <c r="J7" s="78">
        <v>686176</v>
      </c>
      <c r="K7" s="49">
        <v>22.14</v>
      </c>
      <c r="L7" s="47"/>
    </row>
    <row r="8" spans="1:12" ht="12" customHeight="1">
      <c r="A8" s="73" t="s">
        <v>4</v>
      </c>
      <c r="B8" s="45">
        <v>1498667.5751381633</v>
      </c>
      <c r="C8" s="48">
        <v>908201.04</v>
      </c>
      <c r="D8" s="48">
        <v>243839.38</v>
      </c>
      <c r="E8" s="48">
        <v>59089.83</v>
      </c>
      <c r="F8" s="48">
        <f t="shared" ref="F8:F18" si="1">E8/D8*100</f>
        <v>24.233095572995634</v>
      </c>
      <c r="G8" s="49">
        <f t="shared" ref="G8:G18" si="2">E8/C8*100</f>
        <v>6.5062499818322159</v>
      </c>
      <c r="H8" s="78">
        <v>395918</v>
      </c>
      <c r="I8" s="79">
        <v>152125</v>
      </c>
      <c r="J8" s="78">
        <v>686347</v>
      </c>
      <c r="K8" s="49">
        <v>22.16</v>
      </c>
      <c r="L8" s="47"/>
    </row>
    <row r="9" spans="1:12" ht="12" customHeight="1">
      <c r="A9" s="73" t="s">
        <v>5</v>
      </c>
      <c r="B9" s="45">
        <v>1499788.0233174348</v>
      </c>
      <c r="C9" s="48">
        <v>909256.45</v>
      </c>
      <c r="D9" s="48">
        <v>243977.18</v>
      </c>
      <c r="E9" s="48">
        <v>59089.83</v>
      </c>
      <c r="F9" s="48">
        <f t="shared" si="1"/>
        <v>24.219408552881873</v>
      </c>
      <c r="G9" s="49">
        <f t="shared" si="2"/>
        <v>6.4986979196023311</v>
      </c>
      <c r="H9" s="78">
        <v>396214</v>
      </c>
      <c r="I9" s="79">
        <v>152299</v>
      </c>
      <c r="J9" s="78">
        <v>686258</v>
      </c>
      <c r="K9" s="49">
        <v>22.193000000000001</v>
      </c>
      <c r="L9" s="47"/>
    </row>
    <row r="10" spans="1:12" ht="12" customHeight="1">
      <c r="A10" s="73" t="s">
        <v>6</v>
      </c>
      <c r="B10" s="45">
        <v>1501154.5158603983</v>
      </c>
      <c r="C10" s="48">
        <v>910311.77</v>
      </c>
      <c r="D10" s="57">
        <v>224293.98</v>
      </c>
      <c r="E10" s="48">
        <v>59089.83</v>
      </c>
      <c r="F10" s="48">
        <f t="shared" si="1"/>
        <v>26.344813177776771</v>
      </c>
      <c r="G10" s="49">
        <f t="shared" si="2"/>
        <v>6.4911640107652353</v>
      </c>
      <c r="H10" s="78">
        <v>396575</v>
      </c>
      <c r="I10" s="79">
        <v>152682</v>
      </c>
      <c r="J10" s="78">
        <v>686831</v>
      </c>
      <c r="K10" s="49">
        <v>22.23</v>
      </c>
      <c r="L10" s="47"/>
    </row>
    <row r="11" spans="1:12" ht="12" customHeight="1">
      <c r="A11" s="73" t="s">
        <v>7</v>
      </c>
      <c r="B11" s="48">
        <v>1501608.7516087515</v>
      </c>
      <c r="C11" s="48">
        <v>911367.09</v>
      </c>
      <c r="D11" s="50">
        <v>244546.63</v>
      </c>
      <c r="E11" s="48">
        <v>59089.83</v>
      </c>
      <c r="F11" s="48">
        <f t="shared" si="1"/>
        <v>24.163011365153551</v>
      </c>
      <c r="G11" s="49">
        <f t="shared" si="2"/>
        <v>6.4836475497485875</v>
      </c>
      <c r="H11" s="78">
        <v>396695</v>
      </c>
      <c r="I11" s="79">
        <v>152828</v>
      </c>
      <c r="J11" s="78">
        <v>687324</v>
      </c>
      <c r="K11" s="49">
        <v>22.24</v>
      </c>
      <c r="L11" s="47"/>
    </row>
    <row r="12" spans="1:12" ht="12" customHeight="1">
      <c r="A12" s="73" t="s">
        <v>8</v>
      </c>
      <c r="B12" s="48">
        <v>1502706.4880006057</v>
      </c>
      <c r="C12" s="48">
        <v>912422.42</v>
      </c>
      <c r="D12" s="50">
        <v>244819.08</v>
      </c>
      <c r="E12" s="48">
        <v>59089.83</v>
      </c>
      <c r="F12" s="48">
        <f t="shared" si="1"/>
        <v>24.136121253294476</v>
      </c>
      <c r="G12" s="49">
        <f t="shared" si="2"/>
        <v>6.4761484050337117</v>
      </c>
      <c r="H12" s="79">
        <v>396985</v>
      </c>
      <c r="I12" s="79">
        <v>153143</v>
      </c>
      <c r="J12" s="78">
        <v>687637</v>
      </c>
      <c r="K12" s="49">
        <v>22.27</v>
      </c>
      <c r="L12" s="47"/>
    </row>
    <row r="13" spans="1:12" ht="12" customHeight="1">
      <c r="A13" s="73" t="s">
        <v>9</v>
      </c>
      <c r="B13" s="48">
        <v>1502846.5440230146</v>
      </c>
      <c r="C13" s="48">
        <v>913477.74</v>
      </c>
      <c r="D13" s="50">
        <v>244863.43</v>
      </c>
      <c r="E13" s="48">
        <v>59089.83</v>
      </c>
      <c r="F13" s="48">
        <f t="shared" si="1"/>
        <v>24.13174968593718</v>
      </c>
      <c r="G13" s="49">
        <f t="shared" si="2"/>
        <v>6.4686666584781811</v>
      </c>
      <c r="H13" s="78">
        <v>397022</v>
      </c>
      <c r="I13" s="79">
        <v>153204</v>
      </c>
      <c r="J13" s="78">
        <v>687713</v>
      </c>
      <c r="K13" s="49">
        <v>22.28</v>
      </c>
      <c r="L13" s="47"/>
    </row>
    <row r="14" spans="1:12" ht="12" customHeight="1">
      <c r="A14" s="73" t="s">
        <v>10</v>
      </c>
      <c r="B14" s="48">
        <v>1507415.398591869</v>
      </c>
      <c r="C14" s="48">
        <v>914533.06</v>
      </c>
      <c r="D14" s="50">
        <v>245764.73</v>
      </c>
      <c r="E14" s="48">
        <v>59089.83</v>
      </c>
      <c r="F14" s="48">
        <f t="shared" si="1"/>
        <v>24.043250632423945</v>
      </c>
      <c r="G14" s="49">
        <f t="shared" si="2"/>
        <v>6.4612021789567669</v>
      </c>
      <c r="H14" s="79">
        <v>398229</v>
      </c>
      <c r="I14" s="79">
        <v>154365</v>
      </c>
      <c r="J14" s="78">
        <v>689373</v>
      </c>
      <c r="K14" s="49">
        <v>22.39</v>
      </c>
      <c r="L14" s="47"/>
    </row>
    <row r="15" spans="1:12" ht="12" customHeight="1">
      <c r="A15" s="73" t="s">
        <v>11</v>
      </c>
      <c r="B15" s="48">
        <v>1511280.1877507758</v>
      </c>
      <c r="C15" s="48">
        <v>915588.38638805912</v>
      </c>
      <c r="D15" s="50">
        <v>246461.68799999999</v>
      </c>
      <c r="E15" s="48">
        <v>80144.710000000006</v>
      </c>
      <c r="F15" s="48">
        <f t="shared" si="1"/>
        <v>32.518121031452161</v>
      </c>
      <c r="G15" s="49">
        <f t="shared" si="2"/>
        <v>8.753355895673387</v>
      </c>
      <c r="H15" s="78">
        <v>399250</v>
      </c>
      <c r="I15" s="79">
        <v>155397</v>
      </c>
      <c r="J15" s="78">
        <v>690013</v>
      </c>
      <c r="K15" s="49">
        <v>22.52</v>
      </c>
      <c r="L15" s="47"/>
    </row>
    <row r="16" spans="1:12" ht="12" customHeight="1">
      <c r="A16" s="73" t="s">
        <v>12</v>
      </c>
      <c r="B16" s="48">
        <v>1514009.3875387991</v>
      </c>
      <c r="C16" s="48">
        <v>916643.70932006568</v>
      </c>
      <c r="D16" s="50">
        <v>247020.04800000001</v>
      </c>
      <c r="E16" s="48">
        <v>80144.710000000006</v>
      </c>
      <c r="F16" s="48">
        <f t="shared" si="1"/>
        <v>32.444617612575314</v>
      </c>
      <c r="G16" s="49">
        <f t="shared" si="2"/>
        <v>8.7432782426935063</v>
      </c>
      <c r="H16" s="78">
        <v>399971</v>
      </c>
      <c r="I16" s="79">
        <v>156136</v>
      </c>
      <c r="J16" s="78">
        <v>690728</v>
      </c>
      <c r="K16" s="49">
        <v>22.6</v>
      </c>
      <c r="L16" s="47"/>
    </row>
    <row r="17" spans="1:12" ht="12" customHeight="1">
      <c r="A17" s="73" t="s">
        <v>13</v>
      </c>
      <c r="B17" s="48">
        <v>1514592.3234158529</v>
      </c>
      <c r="C17" s="48">
        <v>917699.03225207236</v>
      </c>
      <c r="D17" s="50">
        <v>247241.016</v>
      </c>
      <c r="E17" s="48">
        <v>80144.710000000006</v>
      </c>
      <c r="F17" s="48">
        <f t="shared" si="1"/>
        <v>32.415620715617834</v>
      </c>
      <c r="G17" s="49">
        <f t="shared" si="2"/>
        <v>8.7332237676356144</v>
      </c>
      <c r="H17" s="78">
        <v>400125</v>
      </c>
      <c r="I17" s="79">
        <v>156285</v>
      </c>
      <c r="J17" s="78">
        <v>692240</v>
      </c>
      <c r="K17" s="49">
        <v>22.58</v>
      </c>
      <c r="L17" s="47"/>
    </row>
    <row r="18" spans="1:12" ht="12" customHeight="1">
      <c r="A18" s="74" t="s">
        <v>14</v>
      </c>
      <c r="B18" s="52">
        <v>1515466.7272314329</v>
      </c>
      <c r="C18" s="53">
        <v>918754.3551840788</v>
      </c>
      <c r="D18" s="54">
        <v>247454.856</v>
      </c>
      <c r="E18" s="53">
        <v>80144.710000000006</v>
      </c>
      <c r="F18" s="52">
        <f t="shared" si="1"/>
        <v>32.387608509893219</v>
      </c>
      <c r="G18" s="55">
        <f t="shared" si="2"/>
        <v>8.7231923906300786</v>
      </c>
      <c r="H18" s="80">
        <v>400356</v>
      </c>
      <c r="I18" s="102">
        <v>156550</v>
      </c>
      <c r="J18" s="80">
        <v>692828</v>
      </c>
      <c r="K18" s="55">
        <v>22.6</v>
      </c>
      <c r="L18" s="47"/>
    </row>
    <row r="19" spans="1:12" ht="11.25" customHeight="1">
      <c r="A19" s="23" t="s">
        <v>78</v>
      </c>
      <c r="B19" s="90"/>
      <c r="C19" s="10"/>
      <c r="D19" s="7"/>
      <c r="E19" s="10"/>
      <c r="F19" s="31"/>
      <c r="G19" s="31"/>
      <c r="H19" s="8"/>
      <c r="I19" s="8"/>
      <c r="J19" s="31"/>
      <c r="K19" s="31"/>
      <c r="L19" s="47"/>
    </row>
    <row r="20" spans="1:12" ht="11.25" customHeight="1">
      <c r="A20" s="29" t="s">
        <v>61</v>
      </c>
      <c r="B20" s="29"/>
      <c r="C20" s="29"/>
      <c r="D20" s="29"/>
      <c r="E20" s="29"/>
      <c r="F20" s="29"/>
      <c r="G20" s="29"/>
      <c r="H20" s="29"/>
      <c r="I20" s="29"/>
      <c r="J20" s="6"/>
      <c r="K20" s="6"/>
      <c r="L20" s="47"/>
    </row>
    <row r="21" spans="1:12" ht="11.25" customHeight="1">
      <c r="A21" s="29" t="s">
        <v>42</v>
      </c>
      <c r="B21" s="29"/>
      <c r="C21" s="29"/>
      <c r="D21" s="29"/>
      <c r="E21" s="29"/>
      <c r="F21" s="29"/>
      <c r="G21" s="29"/>
      <c r="H21" s="29"/>
      <c r="I21" s="29"/>
      <c r="J21" s="6"/>
      <c r="K21" s="6"/>
      <c r="L21" s="47"/>
    </row>
    <row r="22" spans="1:12" ht="11.25" customHeight="1">
      <c r="A22" s="29" t="s">
        <v>43</v>
      </c>
      <c r="B22" s="29"/>
      <c r="C22" s="29"/>
      <c r="D22" s="29"/>
      <c r="E22" s="29"/>
      <c r="F22" s="29"/>
      <c r="G22" s="29"/>
      <c r="H22" s="29"/>
      <c r="I22" s="29"/>
      <c r="J22" s="6"/>
      <c r="K22" s="6"/>
      <c r="L22" s="47"/>
    </row>
    <row r="23" spans="1:12" ht="11.25" customHeight="1">
      <c r="A23" s="29" t="s">
        <v>28</v>
      </c>
      <c r="B23" s="29"/>
      <c r="C23" s="29"/>
      <c r="D23" s="29"/>
      <c r="E23" s="29"/>
      <c r="F23" s="29"/>
      <c r="G23" s="29"/>
      <c r="H23" s="29"/>
      <c r="I23" s="29"/>
      <c r="K23" s="6"/>
      <c r="L23" s="47"/>
    </row>
    <row r="24" spans="1:12" ht="11.25" customHeight="1">
      <c r="A24" s="29" t="s">
        <v>50</v>
      </c>
      <c r="B24" s="29"/>
      <c r="C24" s="29"/>
      <c r="D24" s="29"/>
      <c r="E24" s="29"/>
      <c r="F24" s="29"/>
      <c r="G24" s="29"/>
      <c r="H24" s="29"/>
      <c r="I24" s="29"/>
      <c r="J24" s="6"/>
      <c r="K24" s="6"/>
      <c r="L24" s="47"/>
    </row>
    <row r="25" spans="1:12" ht="11.25" customHeight="1">
      <c r="A25" s="29" t="s">
        <v>51</v>
      </c>
      <c r="B25" s="29"/>
      <c r="C25" s="29"/>
      <c r="D25" s="29"/>
      <c r="E25" s="29"/>
      <c r="F25" s="29"/>
      <c r="G25" s="29"/>
      <c r="H25" s="29"/>
      <c r="I25" s="29"/>
      <c r="J25" s="6"/>
      <c r="K25" s="6"/>
      <c r="L25" s="47"/>
    </row>
    <row r="26" spans="1:12" ht="11.25" customHeight="1">
      <c r="A26" s="29" t="s">
        <v>52</v>
      </c>
      <c r="B26" s="29"/>
      <c r="C26" s="29"/>
      <c r="D26" s="29"/>
      <c r="E26" s="29"/>
      <c r="F26" s="29"/>
      <c r="G26" s="29"/>
      <c r="H26" s="29"/>
      <c r="I26" s="29"/>
      <c r="J26" s="6"/>
      <c r="K26" s="6"/>
      <c r="L26" s="47"/>
    </row>
    <row r="27" spans="1:12" ht="11.25" customHeight="1">
      <c r="A27" s="29" t="s">
        <v>79</v>
      </c>
      <c r="B27" s="29"/>
      <c r="C27" s="29"/>
      <c r="D27" s="29"/>
      <c r="E27" s="29"/>
      <c r="F27" s="29"/>
      <c r="G27" s="29"/>
      <c r="H27" s="29"/>
      <c r="I27" s="29"/>
      <c r="J27" s="6"/>
      <c r="K27" s="6"/>
      <c r="L27" s="47"/>
    </row>
    <row r="28" spans="1:12" ht="11.25" customHeight="1">
      <c r="A28" s="29" t="s">
        <v>18</v>
      </c>
      <c r="B28" s="29"/>
      <c r="C28" s="29"/>
      <c r="D28" s="29"/>
      <c r="E28" s="29"/>
      <c r="F28" s="29"/>
      <c r="G28" s="29"/>
      <c r="H28" s="29"/>
      <c r="I28" s="29"/>
      <c r="J28" s="6"/>
      <c r="K28" s="6"/>
      <c r="L28" s="47"/>
    </row>
    <row r="29" spans="1:1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</sheetData>
  <mergeCells count="3">
    <mergeCell ref="A1:K1"/>
    <mergeCell ref="A2:K2"/>
    <mergeCell ref="A4:A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0"/>
  <sheetViews>
    <sheetView workbookViewId="0">
      <selection activeCell="A2" sqref="A2:L2"/>
    </sheetView>
  </sheetViews>
  <sheetFormatPr baseColWidth="10" defaultColWidth="11.42578125" defaultRowHeight="12"/>
  <cols>
    <col min="1" max="1" width="13.7109375" style="12" customWidth="1"/>
    <col min="2" max="2" width="16.5703125" style="12" customWidth="1"/>
    <col min="3" max="3" width="13.85546875" style="12" customWidth="1"/>
    <col min="4" max="4" width="14.7109375" style="12" customWidth="1"/>
    <col min="5" max="5" width="18.85546875" style="12" customWidth="1"/>
    <col min="6" max="10" width="14.7109375" style="12" customWidth="1"/>
    <col min="11" max="11" width="17.140625" style="12" customWidth="1"/>
    <col min="12" max="12" width="14.7109375" style="12" customWidth="1"/>
    <col min="13" max="16384" width="11.42578125" style="12"/>
  </cols>
  <sheetData>
    <row r="1" spans="1:1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>
      <c r="A2" s="119" t="s">
        <v>97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A3" s="2"/>
      <c r="B3" s="3"/>
      <c r="C3" s="3"/>
      <c r="D3" s="3"/>
      <c r="E3" s="4"/>
      <c r="F3" s="4"/>
      <c r="G3" s="5"/>
      <c r="H3" s="5"/>
      <c r="I3" s="6"/>
      <c r="J3" s="6"/>
      <c r="K3" s="6"/>
      <c r="L3" s="6"/>
    </row>
    <row r="4" spans="1:12" ht="50.25">
      <c r="A4" s="120" t="s">
        <v>0</v>
      </c>
      <c r="B4" s="13" t="s">
        <v>31</v>
      </c>
      <c r="C4" s="13" t="s">
        <v>53</v>
      </c>
      <c r="D4" s="13" t="s">
        <v>54</v>
      </c>
      <c r="E4" s="13" t="s">
        <v>55</v>
      </c>
      <c r="F4" s="13" t="s">
        <v>1</v>
      </c>
      <c r="G4" s="13" t="s">
        <v>56</v>
      </c>
      <c r="H4" s="13" t="s">
        <v>57</v>
      </c>
      <c r="I4" s="13" t="s">
        <v>58</v>
      </c>
      <c r="J4" s="13" t="s">
        <v>24</v>
      </c>
      <c r="K4" s="15" t="s">
        <v>20</v>
      </c>
      <c r="L4" s="15" t="s">
        <v>21</v>
      </c>
    </row>
    <row r="5" spans="1:12" ht="14.25">
      <c r="A5" s="121"/>
      <c r="B5" s="15" t="s">
        <v>37</v>
      </c>
      <c r="C5" s="15" t="s">
        <v>2</v>
      </c>
      <c r="D5" s="15" t="s">
        <v>37</v>
      </c>
      <c r="E5" s="15" t="s">
        <v>37</v>
      </c>
      <c r="F5" s="15" t="s">
        <v>37</v>
      </c>
      <c r="G5" s="15" t="s">
        <v>2</v>
      </c>
      <c r="H5" s="15" t="s">
        <v>2</v>
      </c>
      <c r="I5" s="15"/>
      <c r="J5" s="15"/>
      <c r="K5" s="27"/>
      <c r="L5" s="15" t="s">
        <v>2</v>
      </c>
    </row>
    <row r="6" spans="1:12" ht="16.5" customHeight="1">
      <c r="A6" s="28" t="s">
        <v>66</v>
      </c>
      <c r="B6" s="103">
        <f>AVERAGE(B7:B18)</f>
        <v>1614320.7282913162</v>
      </c>
      <c r="C6" s="103">
        <f>AVERAGE(C7:C18)</f>
        <v>92.246249999999989</v>
      </c>
      <c r="D6" s="103">
        <f>AVERAGE(D7:D18)</f>
        <v>925584.69499999995</v>
      </c>
      <c r="E6" s="103">
        <f>AVERAGE(E7:E18)</f>
        <v>358850.04583333334</v>
      </c>
      <c r="F6" s="103">
        <f t="shared" ref="F6:L6" si="0">AVERAGE(F7:F18)</f>
        <v>80144.709999999992</v>
      </c>
      <c r="G6" s="103">
        <f>AVERAGE(G7:G18)</f>
        <v>22.334121759712328</v>
      </c>
      <c r="H6" s="103">
        <f t="shared" si="0"/>
        <v>8.658952709360916</v>
      </c>
      <c r="I6" s="104">
        <f t="shared" si="0"/>
        <v>407902.91666666669</v>
      </c>
      <c r="J6" s="104">
        <f>AVERAGE(J7:J18)</f>
        <v>218626.58333333334</v>
      </c>
      <c r="K6" s="104">
        <f>AVERAGE(K7:K18)</f>
        <v>558462</v>
      </c>
      <c r="L6" s="103">
        <f t="shared" si="0"/>
        <v>37.68156318947316</v>
      </c>
    </row>
    <row r="7" spans="1:12">
      <c r="A7" s="73" t="s">
        <v>3</v>
      </c>
      <c r="B7" s="105">
        <v>1564758.8765235823</v>
      </c>
      <c r="C7" s="105">
        <v>88.287499999999994</v>
      </c>
      <c r="D7" s="105">
        <v>919805.18</v>
      </c>
      <c r="E7" s="105">
        <v>355663.87</v>
      </c>
      <c r="F7" s="105">
        <v>80144.710000000006</v>
      </c>
      <c r="G7" s="105">
        <f>F7/E7*100</f>
        <v>22.53383510672591</v>
      </c>
      <c r="H7" s="105">
        <f>F7/D7*100</f>
        <v>8.7132266421895999</v>
      </c>
      <c r="I7" s="96">
        <v>399322</v>
      </c>
      <c r="J7" s="96">
        <v>194279</v>
      </c>
      <c r="K7" s="96">
        <v>552450</v>
      </c>
      <c r="L7" s="105">
        <f>J7/K7*100</f>
        <v>35.16680242555887</v>
      </c>
    </row>
    <row r="8" spans="1:12">
      <c r="A8" s="73" t="s">
        <v>4</v>
      </c>
      <c r="B8" s="105">
        <v>1583480.9599515479</v>
      </c>
      <c r="C8" s="105">
        <v>88.584999999999994</v>
      </c>
      <c r="D8" s="105">
        <v>920856</v>
      </c>
      <c r="E8" s="105">
        <v>356352</v>
      </c>
      <c r="F8" s="105">
        <v>80144.710000000006</v>
      </c>
      <c r="G8" s="105">
        <f>F8/E8*100</f>
        <v>22.490321367636497</v>
      </c>
      <c r="H8" s="105">
        <f>F8/D8*100</f>
        <v>8.7032836838767427</v>
      </c>
      <c r="I8" s="96">
        <v>400560</v>
      </c>
      <c r="J8" s="96">
        <v>194569</v>
      </c>
      <c r="K8" s="96">
        <v>553978</v>
      </c>
      <c r="L8" s="105">
        <f t="shared" ref="L8" si="1">J8/K8*100</f>
        <v>35.122152865276242</v>
      </c>
    </row>
    <row r="9" spans="1:12">
      <c r="A9" s="73" t="s">
        <v>5</v>
      </c>
      <c r="B9" s="105">
        <v>1606090.5443258383</v>
      </c>
      <c r="C9" s="105">
        <v>91.414999999999992</v>
      </c>
      <c r="D9" s="105">
        <v>921906.82</v>
      </c>
      <c r="E9" s="105">
        <v>357306.62</v>
      </c>
      <c r="F9" s="105">
        <v>80144.710000000006</v>
      </c>
      <c r="G9" s="105">
        <f>F9/E9*100</f>
        <v>22.430233730346224</v>
      </c>
      <c r="H9" s="105">
        <f>F9/D9*100</f>
        <v>8.6933633921918503</v>
      </c>
      <c r="I9" s="96">
        <v>400993</v>
      </c>
      <c r="J9" s="96">
        <v>194805</v>
      </c>
      <c r="K9" s="96">
        <v>554851</v>
      </c>
      <c r="L9" s="105">
        <f>J9/K9*100</f>
        <v>35.10942577376629</v>
      </c>
    </row>
    <row r="10" spans="1:12">
      <c r="A10" s="73" t="s">
        <v>6</v>
      </c>
      <c r="B10" s="105">
        <v>1597331.3649784236</v>
      </c>
      <c r="C10" s="105">
        <v>93.265000000000001</v>
      </c>
      <c r="D10" s="105">
        <v>922957.64</v>
      </c>
      <c r="E10" s="105">
        <v>359446.27</v>
      </c>
      <c r="F10" s="105">
        <v>80144.710000000006</v>
      </c>
      <c r="G10" s="105">
        <f>F10/E10*100</f>
        <v>22.296714888709239</v>
      </c>
      <c r="H10" s="105">
        <f>F10/D10*100</f>
        <v>8.6834656897146445</v>
      </c>
      <c r="I10" s="96">
        <v>402044</v>
      </c>
      <c r="J10" s="96">
        <v>226426</v>
      </c>
      <c r="K10" s="96">
        <v>555977</v>
      </c>
      <c r="L10" s="105">
        <f>J10/K10*100</f>
        <v>40.725785419181008</v>
      </c>
    </row>
    <row r="11" spans="1:12">
      <c r="A11" s="73" t="s">
        <v>7</v>
      </c>
      <c r="B11" s="105">
        <v>1601544.4015444017</v>
      </c>
      <c r="C11" s="105">
        <v>90.927500000000009</v>
      </c>
      <c r="D11" s="105">
        <v>924008.46</v>
      </c>
      <c r="E11" s="105">
        <v>359446.27</v>
      </c>
      <c r="F11" s="105">
        <v>80144.710000000006</v>
      </c>
      <c r="G11" s="105">
        <f t="shared" ref="G11:G14" si="2">F11/E11*100</f>
        <v>22.296714888709239</v>
      </c>
      <c r="H11" s="105">
        <f t="shared" ref="H11:H14" si="3">F11/D11*100</f>
        <v>8.6735904993770312</v>
      </c>
      <c r="I11" s="96">
        <v>408738</v>
      </c>
      <c r="J11" s="96">
        <v>226436</v>
      </c>
      <c r="K11" s="96" t="s">
        <v>65</v>
      </c>
      <c r="L11" s="96" t="s">
        <v>65</v>
      </c>
    </row>
    <row r="12" spans="1:12">
      <c r="A12" s="73" t="s">
        <v>8</v>
      </c>
      <c r="B12" s="105">
        <v>1623692.1795745324</v>
      </c>
      <c r="C12" s="105">
        <v>94.185000000000002</v>
      </c>
      <c r="D12" s="105">
        <v>925059.28</v>
      </c>
      <c r="E12" s="105">
        <v>359469.31</v>
      </c>
      <c r="F12" s="105">
        <v>80144.710000000006</v>
      </c>
      <c r="G12" s="105">
        <f>F12/E12*100</f>
        <v>22.295285792269723</v>
      </c>
      <c r="H12" s="105">
        <f>F12/D12*100</f>
        <v>8.6637377444610912</v>
      </c>
      <c r="I12" s="96">
        <v>408998</v>
      </c>
      <c r="J12" s="96">
        <v>226468</v>
      </c>
      <c r="K12" s="96">
        <v>564170</v>
      </c>
      <c r="L12" s="105">
        <f>J12/K12*100</f>
        <v>40.141801230125672</v>
      </c>
    </row>
    <row r="13" spans="1:12">
      <c r="A13" s="73" t="s">
        <v>9</v>
      </c>
      <c r="B13" s="105">
        <v>1610757.8166401696</v>
      </c>
      <c r="C13" s="105">
        <v>90.637500000000003</v>
      </c>
      <c r="D13" s="105">
        <v>926110.11</v>
      </c>
      <c r="E13" s="105">
        <v>359491.58</v>
      </c>
      <c r="F13" s="105">
        <v>80144.710000000006</v>
      </c>
      <c r="G13" s="105">
        <f t="shared" si="2"/>
        <v>22.293904630534044</v>
      </c>
      <c r="H13" s="105">
        <f t="shared" si="3"/>
        <v>8.6539072551534932</v>
      </c>
      <c r="I13" s="96">
        <v>410852</v>
      </c>
      <c r="J13" s="96">
        <v>226468</v>
      </c>
      <c r="K13" s="96" t="s">
        <v>65</v>
      </c>
      <c r="L13" s="96" t="s">
        <v>65</v>
      </c>
    </row>
    <row r="14" spans="1:12">
      <c r="A14" s="73" t="s">
        <v>10</v>
      </c>
      <c r="B14" s="105">
        <v>1625217.6546294193</v>
      </c>
      <c r="C14" s="105">
        <v>90.922499999999999</v>
      </c>
      <c r="D14" s="105">
        <v>927160.93</v>
      </c>
      <c r="E14" s="105">
        <v>359715.07</v>
      </c>
      <c r="F14" s="105">
        <v>80144.710000000006</v>
      </c>
      <c r="G14" s="105">
        <f t="shared" si="2"/>
        <v>22.280053487889738</v>
      </c>
      <c r="H14" s="105">
        <f t="shared" si="3"/>
        <v>8.6440991425296581</v>
      </c>
      <c r="I14" s="96">
        <v>411475</v>
      </c>
      <c r="J14" s="96">
        <v>226697</v>
      </c>
      <c r="K14" s="96" t="s">
        <v>65</v>
      </c>
      <c r="L14" s="96" t="s">
        <v>65</v>
      </c>
    </row>
    <row r="15" spans="1:12">
      <c r="A15" s="73" t="s">
        <v>11</v>
      </c>
      <c r="B15" s="105">
        <v>1618252.7064880007</v>
      </c>
      <c r="C15" s="105">
        <v>89.337500000000006</v>
      </c>
      <c r="D15" s="105">
        <v>928211.75</v>
      </c>
      <c r="E15" s="105">
        <v>359741.18</v>
      </c>
      <c r="F15" s="105">
        <v>80144.710000000006</v>
      </c>
      <c r="G15" s="105">
        <f>F15/E15*100</f>
        <v>22.278436402526953</v>
      </c>
      <c r="H15" s="105">
        <f>F15/D15*100</f>
        <v>8.6343132372543234</v>
      </c>
      <c r="I15" s="96">
        <v>412158</v>
      </c>
      <c r="J15" s="96">
        <v>226733</v>
      </c>
      <c r="K15" s="96">
        <v>569346</v>
      </c>
      <c r="L15" s="105">
        <f>J15/K15*100</f>
        <v>39.823411422930874</v>
      </c>
    </row>
    <row r="16" spans="1:12">
      <c r="A16" s="73" t="s">
        <v>12</v>
      </c>
      <c r="B16" s="105">
        <v>1631198.4253160725</v>
      </c>
      <c r="C16" s="105">
        <v>97.56</v>
      </c>
      <c r="D16" s="105">
        <v>929262.57</v>
      </c>
      <c r="E16" s="105">
        <v>359818.75</v>
      </c>
      <c r="F16" s="105">
        <v>80144.710000000006</v>
      </c>
      <c r="G16" s="105">
        <f t="shared" ref="G16:G18" si="4">F16/E16*100</f>
        <v>22.273633600250129</v>
      </c>
      <c r="H16" s="105">
        <f>F16/D16*100</f>
        <v>8.6245494639905722</v>
      </c>
      <c r="I16" s="96">
        <v>412304</v>
      </c>
      <c r="J16" s="96">
        <v>226835</v>
      </c>
      <c r="K16" s="97" t="s">
        <v>65</v>
      </c>
      <c r="L16" s="98" t="s">
        <v>65</v>
      </c>
    </row>
    <row r="17" spans="1:12">
      <c r="A17" s="73" t="s">
        <v>13</v>
      </c>
      <c r="B17" s="105">
        <v>1632901.8093723976</v>
      </c>
      <c r="C17" s="105">
        <v>95.495000000000005</v>
      </c>
      <c r="D17" s="105">
        <v>930313.39</v>
      </c>
      <c r="E17" s="105">
        <v>359862.53</v>
      </c>
      <c r="F17" s="105">
        <v>80144.710000000006</v>
      </c>
      <c r="G17" s="105">
        <f t="shared" si="4"/>
        <v>22.270923844169051</v>
      </c>
      <c r="H17" s="105">
        <f t="shared" ref="H17:H18" si="5">F17/D17*100</f>
        <v>8.6148077477418656</v>
      </c>
      <c r="I17" s="96">
        <v>413667</v>
      </c>
      <c r="J17" s="96">
        <v>226901</v>
      </c>
      <c r="K17" s="97" t="s">
        <v>65</v>
      </c>
      <c r="L17" s="98" t="s">
        <v>65</v>
      </c>
    </row>
    <row r="18" spans="1:12">
      <c r="A18" s="74" t="s">
        <v>14</v>
      </c>
      <c r="B18" s="106">
        <v>1676622.0001514119</v>
      </c>
      <c r="C18" s="106">
        <v>96.337500000000006</v>
      </c>
      <c r="D18" s="106">
        <v>931364.21</v>
      </c>
      <c r="E18" s="106">
        <v>359887.1</v>
      </c>
      <c r="F18" s="106">
        <v>80144.710000000006</v>
      </c>
      <c r="G18" s="106">
        <f t="shared" si="4"/>
        <v>22.26940337678122</v>
      </c>
      <c r="H18" s="106">
        <f t="shared" si="5"/>
        <v>8.6050880138501356</v>
      </c>
      <c r="I18" s="107">
        <v>413724</v>
      </c>
      <c r="J18" s="107">
        <v>226902</v>
      </c>
      <c r="K18" s="99" t="s">
        <v>65</v>
      </c>
      <c r="L18" s="100" t="s">
        <v>65</v>
      </c>
    </row>
    <row r="19" spans="1:12" ht="12" customHeight="1">
      <c r="A19" s="91" t="s">
        <v>78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12" ht="11.25" customHeight="1">
      <c r="A20" s="29" t="s">
        <v>70</v>
      </c>
      <c r="B20" s="30"/>
      <c r="C20" s="30"/>
      <c r="D20" s="30"/>
      <c r="E20" s="30"/>
      <c r="F20" s="30"/>
      <c r="G20" s="30"/>
      <c r="H20" s="30"/>
      <c r="I20" s="30"/>
      <c r="J20" s="30"/>
      <c r="K20" s="6"/>
      <c r="L20" s="6"/>
    </row>
    <row r="21" spans="1:12" ht="11.25" customHeight="1">
      <c r="A21" s="29" t="s">
        <v>71</v>
      </c>
      <c r="B21" s="30"/>
      <c r="C21" s="30"/>
      <c r="D21" s="30"/>
      <c r="E21" s="30"/>
      <c r="F21" s="30"/>
      <c r="G21" s="30"/>
      <c r="H21" s="30"/>
      <c r="I21" s="30"/>
      <c r="J21" s="30"/>
      <c r="K21" s="6"/>
      <c r="L21" s="6"/>
    </row>
    <row r="22" spans="1:12" ht="11.25" customHeight="1">
      <c r="A22" s="29" t="s">
        <v>72</v>
      </c>
      <c r="B22" s="30"/>
      <c r="C22" s="30"/>
      <c r="D22" s="30"/>
      <c r="E22" s="30"/>
      <c r="F22" s="30"/>
      <c r="G22" s="30"/>
      <c r="H22" s="30"/>
      <c r="I22" s="30"/>
      <c r="J22" s="30"/>
      <c r="K22" s="6"/>
      <c r="L22" s="6"/>
    </row>
    <row r="23" spans="1:12" ht="11.25" customHeight="1">
      <c r="A23" s="29" t="s">
        <v>73</v>
      </c>
      <c r="B23" s="30"/>
      <c r="C23" s="30"/>
      <c r="D23" s="30"/>
      <c r="E23" s="30"/>
      <c r="F23" s="30"/>
      <c r="G23" s="30"/>
      <c r="H23" s="30"/>
      <c r="I23" s="30"/>
      <c r="J23" s="30"/>
      <c r="K23" s="6"/>
      <c r="L23" s="6"/>
    </row>
    <row r="24" spans="1:12" ht="11.25" customHeight="1">
      <c r="A24" s="29" t="s">
        <v>74</v>
      </c>
      <c r="B24" s="30"/>
      <c r="C24" s="30"/>
      <c r="D24" s="30"/>
      <c r="E24" s="30"/>
      <c r="F24" s="30"/>
      <c r="G24" s="30"/>
      <c r="H24" s="30"/>
      <c r="I24" s="30"/>
      <c r="J24" s="30"/>
      <c r="K24" s="6"/>
      <c r="L24" s="6"/>
    </row>
    <row r="25" spans="1:12" ht="11.25" customHeight="1">
      <c r="A25" s="29" t="s">
        <v>75</v>
      </c>
      <c r="B25" s="30"/>
      <c r="C25" s="30"/>
      <c r="D25" s="30"/>
      <c r="E25" s="30"/>
      <c r="F25" s="30"/>
      <c r="G25" s="30"/>
      <c r="H25" s="30"/>
      <c r="I25" s="30"/>
      <c r="J25" s="30"/>
      <c r="K25" s="6"/>
      <c r="L25" s="6"/>
    </row>
    <row r="26" spans="1:12" ht="11.25" customHeight="1">
      <c r="A26" s="29" t="s">
        <v>76</v>
      </c>
      <c r="B26" s="30"/>
      <c r="C26" s="30"/>
      <c r="D26" s="30"/>
      <c r="E26" s="30"/>
      <c r="F26" s="30"/>
      <c r="G26" s="30"/>
      <c r="H26" s="30"/>
      <c r="I26" s="30"/>
      <c r="J26" s="30"/>
      <c r="K26" s="6"/>
      <c r="L26" s="6"/>
    </row>
    <row r="27" spans="1:12" ht="11.25" customHeight="1">
      <c r="A27" s="29" t="s">
        <v>77</v>
      </c>
      <c r="B27" s="30"/>
      <c r="C27" s="30"/>
      <c r="D27" s="30"/>
      <c r="E27" s="30"/>
      <c r="F27" s="30"/>
      <c r="G27" s="30"/>
      <c r="H27" s="30"/>
      <c r="I27" s="30"/>
      <c r="J27" s="30"/>
      <c r="K27" s="6"/>
      <c r="L27" s="6"/>
    </row>
    <row r="28" spans="1:12" ht="11.25" customHeight="1">
      <c r="A28" s="29" t="s">
        <v>79</v>
      </c>
      <c r="B28" s="30"/>
      <c r="C28" s="30"/>
      <c r="D28" s="30"/>
      <c r="E28" s="30"/>
      <c r="F28" s="30"/>
      <c r="G28" s="30"/>
      <c r="H28" s="30"/>
      <c r="I28" s="30"/>
      <c r="J28" s="30"/>
      <c r="K28" s="6"/>
      <c r="L28" s="6"/>
    </row>
    <row r="29" spans="1:12" ht="11.25" customHeight="1">
      <c r="A29" s="29" t="s">
        <v>69</v>
      </c>
      <c r="B29" s="30"/>
      <c r="C29" s="30"/>
      <c r="D29" s="30"/>
      <c r="E29" s="30"/>
      <c r="F29" s="30"/>
      <c r="G29" s="30"/>
      <c r="H29" s="30"/>
      <c r="I29" s="30"/>
      <c r="J29" s="30"/>
      <c r="K29" s="6"/>
      <c r="L29" s="6"/>
    </row>
    <row r="30" spans="1:12" ht="11.25" customHeight="1">
      <c r="A30" s="29" t="s">
        <v>18</v>
      </c>
      <c r="B30" s="30"/>
      <c r="C30" s="30"/>
      <c r="D30" s="30"/>
      <c r="E30" s="30"/>
      <c r="F30" s="30"/>
      <c r="G30" s="30"/>
      <c r="H30" s="30"/>
      <c r="I30" s="30"/>
      <c r="J30" s="30"/>
      <c r="K30" s="6"/>
      <c r="L30" s="6"/>
    </row>
  </sheetData>
  <mergeCells count="3">
    <mergeCell ref="A1:L1"/>
    <mergeCell ref="A2:L2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FEA4-3E8C-4CB5-B3A4-175AD4018447}">
  <dimension ref="A1:G27"/>
  <sheetViews>
    <sheetView workbookViewId="0">
      <selection activeCell="I9" sqref="I9"/>
    </sheetView>
  </sheetViews>
  <sheetFormatPr baseColWidth="10" defaultColWidth="11.42578125" defaultRowHeight="12"/>
  <cols>
    <col min="1" max="1" width="13.7109375" style="12" customWidth="1"/>
    <col min="2" max="2" width="16.5703125" style="12" customWidth="1"/>
    <col min="3" max="3" width="13.85546875" style="12" customWidth="1"/>
    <col min="4" max="5" width="14.7109375" style="12" customWidth="1"/>
    <col min="6" max="6" width="17.140625" style="12" customWidth="1"/>
    <col min="7" max="7" width="14.7109375" style="12" customWidth="1"/>
    <col min="8" max="16384" width="11.42578125" style="12"/>
  </cols>
  <sheetData>
    <row r="1" spans="1:7">
      <c r="A1" s="118"/>
      <c r="B1" s="118"/>
      <c r="C1" s="118"/>
      <c r="D1" s="118"/>
      <c r="E1" s="118"/>
      <c r="F1" s="118"/>
      <c r="G1" s="118"/>
    </row>
    <row r="2" spans="1:7">
      <c r="A2" s="108" t="s">
        <v>98</v>
      </c>
      <c r="B2" s="108"/>
      <c r="C2" s="108"/>
      <c r="D2" s="108"/>
      <c r="E2" s="108"/>
      <c r="F2" s="108"/>
      <c r="G2" s="108"/>
    </row>
    <row r="3" spans="1:7">
      <c r="A3" s="2"/>
      <c r="B3" s="3"/>
      <c r="C3" s="3"/>
      <c r="D3" s="6"/>
      <c r="E3" s="6"/>
      <c r="F3" s="6"/>
      <c r="G3" s="6"/>
    </row>
    <row r="4" spans="1:7" ht="50.25">
      <c r="A4" s="120" t="s">
        <v>0</v>
      </c>
      <c r="B4" s="13" t="s">
        <v>31</v>
      </c>
      <c r="C4" s="13" t="s">
        <v>53</v>
      </c>
      <c r="D4" s="13" t="s">
        <v>82</v>
      </c>
      <c r="E4" s="13" t="s">
        <v>24</v>
      </c>
      <c r="F4" s="15" t="s">
        <v>20</v>
      </c>
      <c r="G4" s="15" t="s">
        <v>21</v>
      </c>
    </row>
    <row r="5" spans="1:7" ht="14.25">
      <c r="A5" s="121"/>
      <c r="B5" s="15" t="s">
        <v>37</v>
      </c>
      <c r="C5" s="15" t="s">
        <v>2</v>
      </c>
      <c r="D5" s="15"/>
      <c r="E5" s="15"/>
      <c r="F5" s="27"/>
      <c r="G5" s="15" t="s">
        <v>2</v>
      </c>
    </row>
    <row r="6" spans="1:7" ht="16.5" customHeight="1">
      <c r="A6" s="28" t="s">
        <v>85</v>
      </c>
      <c r="B6" s="103">
        <f>AVERAGE(B7:B18)</f>
        <v>1486133.1920155447</v>
      </c>
      <c r="C6" s="103">
        <f>AVERAGE(C7:C18)</f>
        <v>89.699374999999989</v>
      </c>
      <c r="D6" s="104">
        <f>AVERAGE(D7:D18)</f>
        <v>416241.33333333331</v>
      </c>
      <c r="E6" s="104">
        <f>AVERAGE(E7:E18)</f>
        <v>228272.33333333334</v>
      </c>
      <c r="F6" s="104">
        <f>AVERAGE(F7:F18)</f>
        <v>542338.5</v>
      </c>
      <c r="G6" s="103">
        <f t="shared" ref="G6" si="0">AVERAGE(G7:G18)</f>
        <v>42.259181133183674</v>
      </c>
    </row>
    <row r="7" spans="1:7">
      <c r="A7" s="73" t="s">
        <v>3</v>
      </c>
      <c r="B7" s="105">
        <v>1629608.6001968354</v>
      </c>
      <c r="C7" s="105">
        <v>96.797499999999999</v>
      </c>
      <c r="D7" s="96">
        <v>413929</v>
      </c>
      <c r="E7" s="96">
        <v>227151</v>
      </c>
      <c r="F7" s="96" t="s">
        <v>65</v>
      </c>
      <c r="G7" s="96" t="s">
        <v>65</v>
      </c>
    </row>
    <row r="8" spans="1:7">
      <c r="A8" s="73" t="s">
        <v>4</v>
      </c>
      <c r="B8" s="105">
        <v>1533386.3275039745</v>
      </c>
      <c r="C8" s="105">
        <v>93.929999999999993</v>
      </c>
      <c r="D8" s="96">
        <v>414844</v>
      </c>
      <c r="E8" s="96">
        <v>227290</v>
      </c>
      <c r="F8" s="96" t="s">
        <v>65</v>
      </c>
      <c r="G8" s="96" t="s">
        <v>65</v>
      </c>
    </row>
    <row r="9" spans="1:7">
      <c r="A9" s="73" t="s">
        <v>5</v>
      </c>
      <c r="B9" s="105">
        <v>1304337.951396775</v>
      </c>
      <c r="C9" s="105">
        <v>90.657499999999999</v>
      </c>
      <c r="D9" s="96">
        <v>415177</v>
      </c>
      <c r="E9" s="96">
        <v>227615</v>
      </c>
      <c r="F9" s="96">
        <v>573533</v>
      </c>
      <c r="G9" s="105">
        <f>E9/F9*100</f>
        <v>39.68646965388217</v>
      </c>
    </row>
    <row r="10" spans="1:7">
      <c r="A10" s="73" t="s">
        <v>6</v>
      </c>
      <c r="B10" s="105">
        <v>1353395.4122189416</v>
      </c>
      <c r="C10" s="105">
        <v>92.677499999999995</v>
      </c>
      <c r="D10" s="96">
        <v>416050</v>
      </c>
      <c r="E10" s="96">
        <v>228317</v>
      </c>
      <c r="F10" s="96" t="s">
        <v>65</v>
      </c>
      <c r="G10" s="105" t="s">
        <v>65</v>
      </c>
    </row>
    <row r="11" spans="1:7">
      <c r="A11" s="73" t="s">
        <v>7</v>
      </c>
      <c r="B11" s="105">
        <v>1343440.0787341963</v>
      </c>
      <c r="C11" s="105">
        <v>89.602500000000006</v>
      </c>
      <c r="D11" s="96">
        <v>416107</v>
      </c>
      <c r="E11" s="96">
        <v>228422</v>
      </c>
      <c r="F11" s="96" t="s">
        <v>65</v>
      </c>
      <c r="G11" s="96" t="s">
        <v>65</v>
      </c>
    </row>
    <row r="12" spans="1:7">
      <c r="A12" s="73" t="s">
        <v>8</v>
      </c>
      <c r="B12" s="105">
        <v>1443409.7963509727</v>
      </c>
      <c r="C12" s="105">
        <v>85.735000000000014</v>
      </c>
      <c r="D12" s="96">
        <v>416145</v>
      </c>
      <c r="E12" s="96">
        <v>228500</v>
      </c>
      <c r="F12" s="96">
        <v>575193</v>
      </c>
      <c r="G12" s="105">
        <f>E12/F12*100</f>
        <v>39.725796384865603</v>
      </c>
    </row>
    <row r="13" spans="1:7">
      <c r="A13" s="73" t="s">
        <v>9</v>
      </c>
      <c r="B13" s="105">
        <v>1469074.1161329397</v>
      </c>
      <c r="C13" s="105">
        <v>90.882499999999993</v>
      </c>
      <c r="D13" s="96">
        <v>416443</v>
      </c>
      <c r="E13" s="96">
        <v>228580</v>
      </c>
      <c r="F13" s="96" t="s">
        <v>65</v>
      </c>
      <c r="G13" s="96" t="s">
        <v>65</v>
      </c>
    </row>
    <row r="14" spans="1:7">
      <c r="A14" s="73" t="s">
        <v>10</v>
      </c>
      <c r="B14" s="105">
        <v>1552388.522976758</v>
      </c>
      <c r="C14" s="105">
        <v>88.357500000000002</v>
      </c>
      <c r="D14" s="96">
        <v>417521</v>
      </c>
      <c r="E14" s="96">
        <v>228661</v>
      </c>
      <c r="F14" s="96" t="s">
        <v>65</v>
      </c>
      <c r="G14" s="96" t="s">
        <v>65</v>
      </c>
    </row>
    <row r="15" spans="1:7">
      <c r="A15" s="73" t="s">
        <v>11</v>
      </c>
      <c r="B15" s="105">
        <v>1556893.0274812628</v>
      </c>
      <c r="C15" s="105">
        <v>86.907499999999999</v>
      </c>
      <c r="D15" s="96">
        <v>417518</v>
      </c>
      <c r="E15" s="96">
        <v>228683</v>
      </c>
      <c r="F15" s="96">
        <v>510615</v>
      </c>
      <c r="G15" s="105">
        <f>E15/F15*100</f>
        <v>44.785797518678457</v>
      </c>
    </row>
    <row r="16" spans="1:7">
      <c r="A16" s="73" t="s">
        <v>12</v>
      </c>
      <c r="B16" s="105">
        <v>1495230.5246422894</v>
      </c>
      <c r="C16" s="105">
        <v>85.532499999999999</v>
      </c>
      <c r="D16" s="96">
        <v>417105</v>
      </c>
      <c r="E16" s="96">
        <v>228683</v>
      </c>
      <c r="F16" s="97" t="s">
        <v>65</v>
      </c>
      <c r="G16" s="98" t="s">
        <v>65</v>
      </c>
    </row>
    <row r="17" spans="1:7">
      <c r="A17" s="73" t="s">
        <v>13</v>
      </c>
      <c r="B17" s="105">
        <v>1563820.1226436521</v>
      </c>
      <c r="C17" s="105">
        <v>89.174999999999997</v>
      </c>
      <c r="D17" s="96">
        <v>417141</v>
      </c>
      <c r="E17" s="96">
        <v>228683</v>
      </c>
      <c r="F17" s="97" t="s">
        <v>65</v>
      </c>
      <c r="G17" s="98" t="s">
        <v>65</v>
      </c>
    </row>
    <row r="18" spans="1:7">
      <c r="A18" s="74" t="s">
        <v>14</v>
      </c>
      <c r="B18" s="106">
        <v>1588613.8239079416</v>
      </c>
      <c r="C18" s="106">
        <v>86.137500000000003</v>
      </c>
      <c r="D18" s="107">
        <v>416916</v>
      </c>
      <c r="E18" s="107">
        <v>228683</v>
      </c>
      <c r="F18" s="99">
        <v>510013</v>
      </c>
      <c r="G18" s="100">
        <f>E18/F18*100</f>
        <v>44.838660975308478</v>
      </c>
    </row>
    <row r="19" spans="1:7" ht="12" customHeight="1">
      <c r="A19" s="91" t="s">
        <v>78</v>
      </c>
      <c r="B19" s="101"/>
      <c r="C19" s="101"/>
      <c r="D19" s="101"/>
      <c r="E19" s="101"/>
      <c r="F19" s="101"/>
      <c r="G19" s="101"/>
    </row>
    <row r="20" spans="1:7" ht="11.25" customHeight="1">
      <c r="A20" s="29" t="s">
        <v>70</v>
      </c>
      <c r="B20" s="30"/>
      <c r="C20" s="30"/>
      <c r="D20" s="30"/>
      <c r="E20" s="30"/>
      <c r="F20" s="6"/>
      <c r="G20" s="6"/>
    </row>
    <row r="21" spans="1:7" ht="11.25" customHeight="1">
      <c r="A21" s="29" t="s">
        <v>71</v>
      </c>
      <c r="B21" s="30"/>
      <c r="C21" s="30"/>
      <c r="D21" s="30"/>
      <c r="E21" s="30"/>
      <c r="F21" s="6"/>
      <c r="G21" s="6"/>
    </row>
    <row r="22" spans="1:7" ht="11.25" customHeight="1">
      <c r="A22" s="29" t="s">
        <v>83</v>
      </c>
      <c r="B22" s="30"/>
      <c r="C22" s="30"/>
      <c r="D22" s="30"/>
      <c r="E22" s="30"/>
      <c r="F22" s="6"/>
      <c r="G22" s="6"/>
    </row>
    <row r="23" spans="1:7" ht="11.25" customHeight="1">
      <c r="A23" s="29" t="s">
        <v>84</v>
      </c>
      <c r="B23" s="30"/>
      <c r="C23" s="30"/>
      <c r="D23" s="30"/>
      <c r="E23" s="30"/>
      <c r="F23" s="6"/>
      <c r="G23" s="6"/>
    </row>
    <row r="24" spans="1:7" ht="11.25" customHeight="1">
      <c r="A24" s="29" t="s">
        <v>79</v>
      </c>
      <c r="B24" s="30"/>
      <c r="C24" s="30"/>
      <c r="D24" s="30"/>
      <c r="E24" s="30"/>
      <c r="F24" s="6"/>
      <c r="G24" s="6"/>
    </row>
    <row r="25" spans="1:7" ht="11.25" customHeight="1">
      <c r="A25" s="29" t="s">
        <v>18</v>
      </c>
      <c r="B25" s="30"/>
      <c r="C25" s="30"/>
      <c r="D25" s="30"/>
      <c r="E25" s="30"/>
      <c r="F25" s="6"/>
      <c r="G25" s="6"/>
    </row>
    <row r="27" spans="1:7">
      <c r="B27" s="116"/>
      <c r="C27" s="116"/>
    </row>
  </sheetData>
  <mergeCells count="2">
    <mergeCell ref="A1:G1"/>
    <mergeCell ref="A4:A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1962A-AC9A-4446-98AA-600517550A70}">
  <dimension ref="A1:G25"/>
  <sheetViews>
    <sheetView workbookViewId="0">
      <selection activeCell="G9" sqref="G9"/>
    </sheetView>
  </sheetViews>
  <sheetFormatPr baseColWidth="10" defaultRowHeight="15"/>
  <cols>
    <col min="1" max="1" width="11.42578125" style="1"/>
    <col min="2" max="7" width="16.140625" style="1" customWidth="1"/>
    <col min="8" max="16384" width="11.42578125" style="1"/>
  </cols>
  <sheetData>
    <row r="1" spans="1:7">
      <c r="A1" s="118"/>
      <c r="B1" s="118"/>
      <c r="C1" s="118"/>
      <c r="D1" s="118"/>
      <c r="E1" s="118"/>
      <c r="F1" s="118"/>
      <c r="G1" s="118"/>
    </row>
    <row r="2" spans="1:7">
      <c r="A2" s="108" t="s">
        <v>99</v>
      </c>
      <c r="B2" s="108"/>
      <c r="C2" s="108"/>
      <c r="D2" s="108"/>
      <c r="E2" s="108"/>
      <c r="F2" s="108"/>
      <c r="G2" s="108"/>
    </row>
    <row r="3" spans="1:7">
      <c r="A3" s="2"/>
      <c r="B3" s="3"/>
      <c r="C3" s="3"/>
      <c r="D3" s="6"/>
      <c r="E3" s="6"/>
      <c r="F3" s="6"/>
      <c r="G3" s="6"/>
    </row>
    <row r="4" spans="1:7" ht="48">
      <c r="A4" s="120" t="s">
        <v>0</v>
      </c>
      <c r="B4" s="13" t="s">
        <v>31</v>
      </c>
      <c r="C4" s="13" t="s">
        <v>53</v>
      </c>
      <c r="D4" s="13" t="s">
        <v>82</v>
      </c>
      <c r="E4" s="13" t="s">
        <v>24</v>
      </c>
      <c r="F4" s="15" t="s">
        <v>20</v>
      </c>
      <c r="G4" s="15" t="s">
        <v>21</v>
      </c>
    </row>
    <row r="5" spans="1:7">
      <c r="A5" s="121"/>
      <c r="B5" s="15" t="s">
        <v>37</v>
      </c>
      <c r="C5" s="15" t="s">
        <v>2</v>
      </c>
      <c r="D5" s="15"/>
      <c r="E5" s="15"/>
      <c r="F5" s="27"/>
      <c r="G5" s="15" t="s">
        <v>2</v>
      </c>
    </row>
    <row r="6" spans="1:7">
      <c r="A6" s="28" t="s">
        <v>85</v>
      </c>
      <c r="B6" s="103">
        <f>AVERAGE(B7:B18)</f>
        <v>1670751.6339869283</v>
      </c>
      <c r="C6" s="103">
        <f>AVERAGE(C7:C18)</f>
        <v>89.109375</v>
      </c>
      <c r="D6" s="103">
        <f t="shared" ref="D6:G6" si="0">AVERAGE(D7:D18)</f>
        <v>417386.66666666669</v>
      </c>
      <c r="E6" s="103">
        <f t="shared" si="0"/>
        <v>208283.66666666666</v>
      </c>
      <c r="F6" s="103">
        <f t="shared" si="0"/>
        <v>588410.75</v>
      </c>
      <c r="G6" s="103">
        <f t="shared" si="0"/>
        <v>36.234647432456001</v>
      </c>
    </row>
    <row r="7" spans="1:7">
      <c r="A7" s="73" t="s">
        <v>3</v>
      </c>
      <c r="B7" s="105">
        <v>1776364.5998940116</v>
      </c>
      <c r="C7" s="105">
        <v>92.455000000000013</v>
      </c>
      <c r="D7" s="96">
        <v>415061</v>
      </c>
      <c r="E7" s="96">
        <v>209370</v>
      </c>
      <c r="F7" s="117" t="s">
        <v>86</v>
      </c>
      <c r="G7" s="117" t="s">
        <v>86</v>
      </c>
    </row>
    <row r="8" spans="1:7">
      <c r="A8" s="73" t="s">
        <v>4</v>
      </c>
      <c r="B8" s="105">
        <v>1736429.7070179421</v>
      </c>
      <c r="C8" s="105">
        <v>92.97</v>
      </c>
      <c r="D8" s="96">
        <v>415025</v>
      </c>
      <c r="E8" s="96">
        <v>209356</v>
      </c>
      <c r="F8" s="117" t="s">
        <v>86</v>
      </c>
      <c r="G8" s="117" t="s">
        <v>86</v>
      </c>
    </row>
    <row r="9" spans="1:7">
      <c r="A9" s="73" t="s">
        <v>5</v>
      </c>
      <c r="B9" s="105">
        <v>1615110.9092285563</v>
      </c>
      <c r="C9" s="105">
        <v>93.57</v>
      </c>
      <c r="D9" s="96">
        <v>414290</v>
      </c>
      <c r="E9" s="96">
        <v>209332</v>
      </c>
      <c r="F9" s="96">
        <v>507387</v>
      </c>
      <c r="G9" s="105">
        <f>E9/F9*100</f>
        <v>41.256870988022946</v>
      </c>
    </row>
    <row r="10" spans="1:7">
      <c r="A10" s="73" t="s">
        <v>6</v>
      </c>
      <c r="B10" s="105">
        <v>1597622.8329169503</v>
      </c>
      <c r="C10" s="105">
        <v>94.477499999999992</v>
      </c>
      <c r="D10" s="96">
        <v>417062</v>
      </c>
      <c r="E10" s="96">
        <v>209312</v>
      </c>
      <c r="F10" s="117" t="s">
        <v>86</v>
      </c>
      <c r="G10" s="105" t="s">
        <v>86</v>
      </c>
    </row>
    <row r="11" spans="1:7">
      <c r="A11" s="73" t="s">
        <v>7</v>
      </c>
      <c r="B11" s="105">
        <v>1639753.1985767279</v>
      </c>
      <c r="C11" s="105">
        <v>88.34</v>
      </c>
      <c r="D11" s="96">
        <v>417081</v>
      </c>
      <c r="E11" s="96">
        <v>209313</v>
      </c>
      <c r="F11" s="96" t="s">
        <v>86</v>
      </c>
      <c r="G11" s="96" t="s">
        <v>86</v>
      </c>
    </row>
    <row r="12" spans="1:7">
      <c r="A12" s="73" t="s">
        <v>8</v>
      </c>
      <c r="B12" s="105">
        <v>1699485.1994851993</v>
      </c>
      <c r="C12" s="105">
        <v>87.32</v>
      </c>
      <c r="D12" s="96">
        <v>417332</v>
      </c>
      <c r="E12" s="96">
        <v>209257</v>
      </c>
      <c r="F12" s="96">
        <v>510429</v>
      </c>
      <c r="G12" s="105">
        <f>E12/F12*100</f>
        <v>40.996299191464438</v>
      </c>
    </row>
    <row r="13" spans="1:7">
      <c r="A13" s="73" t="s">
        <v>9</v>
      </c>
      <c r="B13" s="105">
        <v>1631955.4848966612</v>
      </c>
      <c r="C13" s="105">
        <v>86.527500000000003</v>
      </c>
      <c r="D13" s="96">
        <v>417448</v>
      </c>
      <c r="E13" s="96">
        <v>209269</v>
      </c>
      <c r="F13" s="117" t="s">
        <v>86</v>
      </c>
      <c r="G13" s="96" t="s">
        <v>86</v>
      </c>
    </row>
    <row r="14" spans="1:7">
      <c r="A14" s="73" t="s">
        <v>10</v>
      </c>
      <c r="B14" s="105">
        <v>1675637.8226966462</v>
      </c>
      <c r="C14" s="105">
        <v>87.567499999999995</v>
      </c>
      <c r="D14" s="96">
        <v>417516</v>
      </c>
      <c r="E14" s="96">
        <v>209169</v>
      </c>
      <c r="F14" s="96" t="s">
        <v>86</v>
      </c>
      <c r="G14" s="96" t="s">
        <v>86</v>
      </c>
    </row>
    <row r="15" spans="1:7">
      <c r="A15" s="73" t="s">
        <v>11</v>
      </c>
      <c r="B15" s="105">
        <v>1663222.0455749866</v>
      </c>
      <c r="C15" s="105">
        <v>90.165000000000006</v>
      </c>
      <c r="D15" s="96">
        <v>418528</v>
      </c>
      <c r="E15" s="96">
        <v>209428</v>
      </c>
      <c r="F15" s="96">
        <v>667400</v>
      </c>
      <c r="G15" s="105">
        <f>E15/F15*100</f>
        <v>31.379682349415646</v>
      </c>
    </row>
    <row r="16" spans="1:7">
      <c r="A16" s="73" t="s">
        <v>12</v>
      </c>
      <c r="B16" s="105">
        <v>1654742.9782723899</v>
      </c>
      <c r="C16" s="105">
        <v>86.805000000000007</v>
      </c>
      <c r="D16" s="96">
        <v>419368</v>
      </c>
      <c r="E16" s="96">
        <v>209602</v>
      </c>
      <c r="F16" s="97" t="s">
        <v>86</v>
      </c>
      <c r="G16" s="98" t="s">
        <v>86</v>
      </c>
    </row>
    <row r="17" spans="1:7">
      <c r="A17" s="73" t="s">
        <v>13</v>
      </c>
      <c r="B17" s="105">
        <v>1688242.8647134528</v>
      </c>
      <c r="C17" s="105">
        <v>83.317499999999995</v>
      </c>
      <c r="D17" s="96">
        <v>420374</v>
      </c>
      <c r="E17" s="96">
        <v>196740</v>
      </c>
      <c r="F17" s="97" t="s">
        <v>86</v>
      </c>
      <c r="G17" s="98" t="s">
        <v>86</v>
      </c>
    </row>
    <row r="18" spans="1:7">
      <c r="A18" s="74" t="s">
        <v>14</v>
      </c>
      <c r="B18" s="106">
        <v>1670451.9645696117</v>
      </c>
      <c r="C18" s="106">
        <v>85.797499999999999</v>
      </c>
      <c r="D18" s="107">
        <v>419555</v>
      </c>
      <c r="E18" s="107">
        <v>209256</v>
      </c>
      <c r="F18" s="99">
        <v>668427</v>
      </c>
      <c r="G18" s="100">
        <f>E18/F18*100</f>
        <v>31.305737200920969</v>
      </c>
    </row>
    <row r="19" spans="1:7">
      <c r="A19" s="91" t="s">
        <v>78</v>
      </c>
      <c r="B19" s="101"/>
      <c r="C19" s="101"/>
      <c r="D19" s="101"/>
      <c r="E19" s="101"/>
      <c r="F19" s="101"/>
      <c r="G19" s="101"/>
    </row>
    <row r="20" spans="1:7">
      <c r="A20" s="29" t="s">
        <v>70</v>
      </c>
      <c r="B20" s="30"/>
      <c r="C20" s="30"/>
      <c r="D20" s="30"/>
      <c r="E20" s="30"/>
      <c r="F20" s="6"/>
      <c r="G20" s="6"/>
    </row>
    <row r="21" spans="1:7">
      <c r="A21" s="29" t="s">
        <v>71</v>
      </c>
      <c r="B21" s="30"/>
      <c r="C21" s="30"/>
      <c r="D21" s="30"/>
      <c r="E21" s="30"/>
      <c r="F21" s="6"/>
      <c r="G21" s="6"/>
    </row>
    <row r="22" spans="1:7">
      <c r="A22" s="29" t="s">
        <v>83</v>
      </c>
      <c r="B22" s="30"/>
      <c r="C22" s="30"/>
      <c r="D22" s="30"/>
      <c r="E22" s="30"/>
      <c r="F22" s="6"/>
      <c r="G22" s="6"/>
    </row>
    <row r="23" spans="1:7">
      <c r="A23" s="29" t="s">
        <v>84</v>
      </c>
      <c r="B23" s="30"/>
      <c r="C23" s="30"/>
      <c r="D23" s="30"/>
      <c r="E23" s="30"/>
      <c r="F23" s="6"/>
      <c r="G23" s="6"/>
    </row>
    <row r="24" spans="1:7">
      <c r="A24" s="29" t="s">
        <v>79</v>
      </c>
      <c r="B24" s="30"/>
      <c r="C24" s="30"/>
      <c r="D24" s="30"/>
      <c r="E24" s="30"/>
      <c r="F24" s="6"/>
      <c r="G24" s="6"/>
    </row>
    <row r="25" spans="1:7">
      <c r="A25" s="29" t="s">
        <v>18</v>
      </c>
      <c r="B25" s="30"/>
      <c r="C25" s="30"/>
      <c r="D25" s="30"/>
      <c r="E25" s="30"/>
      <c r="F25" s="6"/>
      <c r="G25" s="6"/>
    </row>
  </sheetData>
  <mergeCells count="2">
    <mergeCell ref="A1:G1"/>
    <mergeCell ref="A4:A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37C7-1767-4601-94E1-5B8811E0D4DA}">
  <dimension ref="A1:G26"/>
  <sheetViews>
    <sheetView tabSelected="1" workbookViewId="0">
      <selection activeCell="J5" sqref="J5"/>
    </sheetView>
  </sheetViews>
  <sheetFormatPr baseColWidth="10" defaultRowHeight="15"/>
  <cols>
    <col min="1" max="1" width="11.42578125" style="1"/>
    <col min="2" max="7" width="16.140625" style="1" customWidth="1"/>
    <col min="8" max="16384" width="11.42578125" style="1"/>
  </cols>
  <sheetData>
    <row r="1" spans="1:7">
      <c r="A1" s="118"/>
      <c r="B1" s="118"/>
      <c r="C1" s="118"/>
      <c r="D1" s="118"/>
      <c r="E1" s="118"/>
      <c r="F1" s="118"/>
      <c r="G1" s="118"/>
    </row>
    <row r="2" spans="1:7">
      <c r="A2" s="108" t="s">
        <v>100</v>
      </c>
      <c r="B2" s="108"/>
      <c r="C2" s="108"/>
      <c r="D2" s="108"/>
      <c r="E2" s="108"/>
      <c r="F2" s="108"/>
      <c r="G2" s="108"/>
    </row>
    <row r="3" spans="1:7">
      <c r="A3" s="2"/>
      <c r="B3" s="3"/>
      <c r="C3" s="3"/>
      <c r="D3" s="6"/>
      <c r="E3" s="6"/>
      <c r="F3" s="6"/>
      <c r="G3" s="6"/>
    </row>
    <row r="4" spans="1:7" ht="48">
      <c r="A4" s="120" t="s">
        <v>0</v>
      </c>
      <c r="B4" s="13" t="s">
        <v>31</v>
      </c>
      <c r="C4" s="13" t="s">
        <v>53</v>
      </c>
      <c r="D4" s="13" t="s">
        <v>82</v>
      </c>
      <c r="E4" s="13" t="s">
        <v>24</v>
      </c>
      <c r="F4" s="15" t="s">
        <v>20</v>
      </c>
      <c r="G4" s="15" t="s">
        <v>21</v>
      </c>
    </row>
    <row r="5" spans="1:7">
      <c r="A5" s="121"/>
      <c r="B5" s="15" t="s">
        <v>37</v>
      </c>
      <c r="C5" s="15" t="s">
        <v>2</v>
      </c>
      <c r="D5" s="15"/>
      <c r="E5" s="15"/>
      <c r="F5" s="27"/>
      <c r="G5" s="15" t="s">
        <v>2</v>
      </c>
    </row>
    <row r="6" spans="1:7">
      <c r="A6" s="28" t="s">
        <v>85</v>
      </c>
      <c r="B6" s="103">
        <f>AVERAGE(B7:B18)</f>
        <v>1652326.8226209402</v>
      </c>
      <c r="C6" s="103">
        <f>AVERAGE(C7:C18)</f>
        <v>87.97175</v>
      </c>
      <c r="D6" s="103">
        <f>AVERAGE(D8:D18)</f>
        <v>425906.33333333331</v>
      </c>
      <c r="E6" s="103">
        <f>AVERAGE(E8:E18)</f>
        <v>247596.77777777778</v>
      </c>
      <c r="F6" s="103">
        <f>AVERAGE(F7:F18)</f>
        <v>674893.66666666663</v>
      </c>
      <c r="G6" s="103">
        <f>AVERAGE(G9,G12,G15)</f>
        <v>39.615661824746844</v>
      </c>
    </row>
    <row r="7" spans="1:7">
      <c r="A7" s="73" t="s">
        <v>3</v>
      </c>
      <c r="B7" s="105">
        <v>1719573.7754561282</v>
      </c>
      <c r="C7" s="105">
        <v>88.23</v>
      </c>
      <c r="D7" s="96">
        <v>0</v>
      </c>
      <c r="E7" s="96">
        <v>0</v>
      </c>
      <c r="F7" s="105" t="s">
        <v>86</v>
      </c>
      <c r="G7" s="96" t="s">
        <v>86</v>
      </c>
    </row>
    <row r="8" spans="1:7">
      <c r="A8" s="73" t="s">
        <v>4</v>
      </c>
      <c r="B8" s="105">
        <v>1728105.0798697858</v>
      </c>
      <c r="C8" s="105">
        <v>89.452499999999986</v>
      </c>
      <c r="D8" s="96">
        <v>424360</v>
      </c>
      <c r="E8" s="96">
        <v>363393</v>
      </c>
      <c r="F8" s="105" t="s">
        <v>86</v>
      </c>
      <c r="G8" s="96" t="s">
        <v>86</v>
      </c>
    </row>
    <row r="9" spans="1:7">
      <c r="A9" s="73" t="s">
        <v>5</v>
      </c>
      <c r="B9" s="105">
        <v>1664962.1470209705</v>
      </c>
      <c r="C9" s="105">
        <v>92.162500000000009</v>
      </c>
      <c r="D9" s="96">
        <v>424351</v>
      </c>
      <c r="E9" s="96">
        <v>376935</v>
      </c>
      <c r="F9" s="96">
        <v>673223</v>
      </c>
      <c r="G9" s="105">
        <v>55.989620081310356</v>
      </c>
    </row>
    <row r="10" spans="1:7">
      <c r="A10" s="73" t="s">
        <v>6</v>
      </c>
      <c r="B10" s="105">
        <v>1651204.1032629269</v>
      </c>
      <c r="C10" s="105">
        <v>87.807500000000005</v>
      </c>
      <c r="D10" s="96">
        <v>423199</v>
      </c>
      <c r="E10" s="96">
        <v>211944</v>
      </c>
      <c r="F10" s="96" t="s">
        <v>86</v>
      </c>
      <c r="G10" s="96" t="s">
        <v>86</v>
      </c>
    </row>
    <row r="11" spans="1:7">
      <c r="A11" s="73" t="s">
        <v>7</v>
      </c>
      <c r="B11" s="105">
        <v>1616707.5478840184</v>
      </c>
      <c r="C11" s="105">
        <v>87.552500000000009</v>
      </c>
      <c r="D11" s="96">
        <v>425862</v>
      </c>
      <c r="E11" s="96">
        <v>213916</v>
      </c>
      <c r="F11" s="96" t="s">
        <v>86</v>
      </c>
      <c r="G11" s="96" t="s">
        <v>86</v>
      </c>
    </row>
    <row r="12" spans="1:7">
      <c r="A12" s="73" t="s">
        <v>8</v>
      </c>
      <c r="B12" s="105">
        <v>1677302.9752441517</v>
      </c>
      <c r="C12" s="105">
        <v>87.477499999999992</v>
      </c>
      <c r="D12" s="96">
        <v>425921</v>
      </c>
      <c r="E12" s="96">
        <v>212600</v>
      </c>
      <c r="F12" s="96">
        <v>674793</v>
      </c>
      <c r="G12" s="105">
        <v>31.505958123454153</v>
      </c>
    </row>
    <row r="13" spans="1:7">
      <c r="A13" s="73" t="s">
        <v>9</v>
      </c>
      <c r="B13" s="105">
        <v>1642433.9465515937</v>
      </c>
      <c r="C13" s="105">
        <v>86.254999999999981</v>
      </c>
      <c r="D13" s="96">
        <v>426479</v>
      </c>
      <c r="E13" s="96">
        <v>212069</v>
      </c>
      <c r="F13" s="96" t="s">
        <v>86</v>
      </c>
      <c r="G13" s="96" t="s">
        <v>86</v>
      </c>
    </row>
    <row r="14" spans="1:7">
      <c r="A14" s="73" t="s">
        <v>10</v>
      </c>
      <c r="B14" s="105">
        <v>1653753.8799303507</v>
      </c>
      <c r="C14" s="105">
        <v>81.122500000000002</v>
      </c>
      <c r="D14" s="96">
        <v>427094</v>
      </c>
      <c r="E14" s="96">
        <v>212773</v>
      </c>
      <c r="F14" s="96" t="s">
        <v>86</v>
      </c>
      <c r="G14" s="96" t="s">
        <v>86</v>
      </c>
    </row>
    <row r="15" spans="1:7">
      <c r="A15" s="73" t="s">
        <v>11</v>
      </c>
      <c r="B15" s="105">
        <v>1587238.6251798016</v>
      </c>
      <c r="C15" s="105">
        <v>91.527500000000003</v>
      </c>
      <c r="D15" s="96">
        <v>427793</v>
      </c>
      <c r="E15" s="96">
        <v>212144</v>
      </c>
      <c r="F15" s="96">
        <v>676665</v>
      </c>
      <c r="G15" s="105">
        <v>31.351407269476034</v>
      </c>
    </row>
    <row r="16" spans="1:7">
      <c r="A16" s="73" t="s">
        <v>12</v>
      </c>
      <c r="B16" s="105">
        <v>1581986.1458096751</v>
      </c>
      <c r="C16" s="105">
        <v>88.13</v>
      </c>
      <c r="D16" s="96">
        <v>428098</v>
      </c>
      <c r="E16" s="96">
        <v>212597</v>
      </c>
      <c r="F16" s="97" t="s">
        <v>86</v>
      </c>
      <c r="G16" s="98" t="s">
        <v>86</v>
      </c>
    </row>
    <row r="17" spans="1:7">
      <c r="A17" s="73" t="s">
        <v>13</v>
      </c>
      <c r="B17" s="105"/>
      <c r="C17" s="105"/>
      <c r="D17" s="96"/>
      <c r="E17" s="96"/>
      <c r="F17" s="97"/>
      <c r="G17" s="98"/>
    </row>
    <row r="18" spans="1:7">
      <c r="A18" s="74" t="s">
        <v>14</v>
      </c>
      <c r="B18" s="106"/>
      <c r="C18" s="106"/>
      <c r="D18" s="107"/>
      <c r="E18" s="107"/>
      <c r="F18" s="99"/>
      <c r="G18" s="100"/>
    </row>
    <row r="19" spans="1:7" ht="12.75" customHeight="1">
      <c r="A19" s="91" t="s">
        <v>78</v>
      </c>
      <c r="B19" s="101"/>
      <c r="C19" s="101"/>
      <c r="D19" s="101"/>
      <c r="E19" s="101"/>
      <c r="F19" s="101"/>
      <c r="G19" s="101"/>
    </row>
    <row r="20" spans="1:7" ht="12.75" customHeight="1">
      <c r="A20" s="29" t="s">
        <v>70</v>
      </c>
      <c r="B20" s="30"/>
      <c r="C20" s="30"/>
      <c r="D20" s="30"/>
      <c r="E20" s="30"/>
      <c r="F20" s="6"/>
      <c r="G20" s="6"/>
    </row>
    <row r="21" spans="1:7" ht="12.75" customHeight="1">
      <c r="A21" s="29" t="s">
        <v>71</v>
      </c>
      <c r="B21" s="30"/>
      <c r="C21" s="30"/>
      <c r="D21" s="30"/>
      <c r="E21" s="30"/>
      <c r="F21" s="6"/>
      <c r="G21" s="6"/>
    </row>
    <row r="22" spans="1:7" ht="12.75" customHeight="1">
      <c r="A22" s="29" t="s">
        <v>83</v>
      </c>
      <c r="B22" s="30"/>
      <c r="C22" s="30"/>
      <c r="D22" s="30"/>
      <c r="E22" s="30"/>
      <c r="F22" s="6"/>
      <c r="G22" s="6"/>
    </row>
    <row r="23" spans="1:7" ht="12.75" customHeight="1">
      <c r="A23" s="29" t="s">
        <v>84</v>
      </c>
      <c r="B23" s="30"/>
      <c r="C23" s="30"/>
      <c r="D23" s="30"/>
      <c r="E23" s="30"/>
      <c r="F23" s="6"/>
      <c r="G23" s="6"/>
    </row>
    <row r="24" spans="1:7" ht="12.75" customHeight="1">
      <c r="A24" s="29" t="s">
        <v>79</v>
      </c>
      <c r="B24" s="30"/>
      <c r="C24" s="30"/>
      <c r="D24" s="30"/>
      <c r="E24" s="30"/>
      <c r="F24" s="6"/>
      <c r="G24" s="6"/>
    </row>
    <row r="25" spans="1:7" ht="12.75" customHeight="1">
      <c r="A25" s="29" t="s">
        <v>101</v>
      </c>
      <c r="B25" s="30"/>
      <c r="C25" s="30"/>
      <c r="D25" s="30"/>
      <c r="E25" s="30"/>
      <c r="F25" s="6"/>
      <c r="G25" s="6"/>
    </row>
    <row r="26" spans="1:7" ht="12.75" customHeight="1">
      <c r="A26" s="29" t="s">
        <v>18</v>
      </c>
      <c r="B26" s="30"/>
      <c r="C26" s="30"/>
      <c r="D26" s="30"/>
      <c r="E26" s="30"/>
      <c r="F26" s="6"/>
      <c r="G26" s="6"/>
    </row>
  </sheetData>
  <mergeCells count="2">
    <mergeCell ref="A1:G1"/>
    <mergeCell ref="A4:A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orkbookViewId="0">
      <selection activeCell="F10" sqref="F10"/>
    </sheetView>
  </sheetViews>
  <sheetFormatPr baseColWidth="10" defaultColWidth="11.42578125" defaultRowHeight="12"/>
  <cols>
    <col min="1" max="1" width="15" style="12" customWidth="1"/>
    <col min="2" max="9" width="14" style="12" customWidth="1"/>
    <col min="10" max="16384" width="11.42578125" style="12"/>
  </cols>
  <sheetData>
    <row r="1" spans="1:9">
      <c r="A1" s="123"/>
      <c r="B1" s="123"/>
      <c r="C1" s="123"/>
      <c r="D1" s="123"/>
      <c r="E1" s="123"/>
      <c r="F1" s="123"/>
      <c r="G1" s="123"/>
      <c r="H1" s="123"/>
      <c r="I1" s="123"/>
    </row>
    <row r="2" spans="1:9">
      <c r="A2" s="124" t="s">
        <v>88</v>
      </c>
      <c r="B2" s="124"/>
      <c r="C2" s="124"/>
      <c r="D2" s="124"/>
      <c r="E2" s="124"/>
      <c r="F2" s="124"/>
      <c r="G2" s="124"/>
      <c r="H2" s="124"/>
      <c r="I2" s="124"/>
    </row>
    <row r="3" spans="1:9">
      <c r="A3" s="32"/>
      <c r="B3" s="16"/>
      <c r="C3" s="16"/>
      <c r="D3" s="17"/>
      <c r="E3" s="17"/>
      <c r="F3" s="18"/>
      <c r="G3" s="18"/>
      <c r="H3" s="19"/>
      <c r="I3" s="19"/>
    </row>
    <row r="4" spans="1:9" ht="62.25" customHeight="1">
      <c r="A4" s="125" t="s">
        <v>0</v>
      </c>
      <c r="B4" s="20" t="s">
        <v>31</v>
      </c>
      <c r="C4" s="20" t="s">
        <v>32</v>
      </c>
      <c r="D4" s="20" t="s">
        <v>33</v>
      </c>
      <c r="E4" s="20" t="s">
        <v>1</v>
      </c>
      <c r="F4" s="20" t="s">
        <v>34</v>
      </c>
      <c r="G4" s="20" t="s">
        <v>40</v>
      </c>
      <c r="H4" s="20" t="s">
        <v>35</v>
      </c>
      <c r="I4" s="20" t="s">
        <v>36</v>
      </c>
    </row>
    <row r="5" spans="1:9" ht="14.25">
      <c r="A5" s="126"/>
      <c r="B5" s="21" t="s">
        <v>37</v>
      </c>
      <c r="C5" s="21" t="s">
        <v>37</v>
      </c>
      <c r="D5" s="21" t="s">
        <v>37</v>
      </c>
      <c r="E5" s="21" t="s">
        <v>37</v>
      </c>
      <c r="F5" s="21" t="s">
        <v>2</v>
      </c>
      <c r="G5" s="21" t="s">
        <v>2</v>
      </c>
      <c r="H5" s="21"/>
      <c r="I5" s="21"/>
    </row>
    <row r="6" spans="1:9" ht="14.25" customHeight="1">
      <c r="A6" s="75" t="s">
        <v>68</v>
      </c>
      <c r="B6" s="66">
        <f t="shared" ref="B6:I6" si="0">AVERAGE(B7:B18)</f>
        <v>1374645.0904686197</v>
      </c>
      <c r="C6" s="66">
        <f t="shared" si="0"/>
        <v>790096.88</v>
      </c>
      <c r="D6" s="66">
        <f t="shared" si="0"/>
        <v>133093.52580000003</v>
      </c>
      <c r="E6" s="66">
        <f t="shared" si="0"/>
        <v>29980</v>
      </c>
      <c r="F6" s="66">
        <f t="shared" si="0"/>
        <v>22.638281205149422</v>
      </c>
      <c r="G6" s="67">
        <f t="shared" si="0"/>
        <v>3.7869678636031527</v>
      </c>
      <c r="H6" s="82">
        <f t="shared" si="0"/>
        <v>364230.41666666669</v>
      </c>
      <c r="I6" s="82">
        <f t="shared" si="0"/>
        <v>91074.416666666672</v>
      </c>
    </row>
    <row r="7" spans="1:9">
      <c r="A7" s="76" t="s">
        <v>3</v>
      </c>
      <c r="B7" s="45">
        <f>(401.89987/264.18)*1000000</f>
        <v>1521310.7351048528</v>
      </c>
      <c r="C7" s="45">
        <f t="shared" ref="C7:C14" si="1">(3339410*300*80%/1000)</f>
        <v>801458.4</v>
      </c>
      <c r="D7" s="68">
        <v>129537.54480000002</v>
      </c>
      <c r="E7" s="45">
        <v>30600</v>
      </c>
      <c r="F7" s="51">
        <f>E7/D7*100</f>
        <v>23.62249496641687</v>
      </c>
      <c r="G7" s="69">
        <f>+E7/C7*100</f>
        <v>3.8180397136021034</v>
      </c>
      <c r="H7" s="79">
        <v>367359</v>
      </c>
      <c r="I7" s="79">
        <v>88299</v>
      </c>
    </row>
    <row r="8" spans="1:9">
      <c r="A8" s="76" t="s">
        <v>4</v>
      </c>
      <c r="B8" s="45">
        <f>(384.97671/264.18)*1000000</f>
        <v>1457251.5330456507</v>
      </c>
      <c r="C8" s="45">
        <f t="shared" si="1"/>
        <v>801458.4</v>
      </c>
      <c r="D8" s="68">
        <v>129953.1</v>
      </c>
      <c r="E8" s="45">
        <v>30600</v>
      </c>
      <c r="F8" s="51">
        <f>E8/D8*100</f>
        <v>23.546956555865155</v>
      </c>
      <c r="G8" s="69">
        <f t="shared" ref="G8:G18" si="2">+E8/C8*100</f>
        <v>3.8180397136021034</v>
      </c>
      <c r="H8" s="79">
        <v>368025</v>
      </c>
      <c r="I8" s="79">
        <v>88518</v>
      </c>
    </row>
    <row r="9" spans="1:9">
      <c r="A9" s="76" t="s">
        <v>5</v>
      </c>
      <c r="B9" s="45">
        <f>(363.78506/264.18)*1000000</f>
        <v>1377034.8247407069</v>
      </c>
      <c r="C9" s="45">
        <f t="shared" si="1"/>
        <v>801458.4</v>
      </c>
      <c r="D9" s="68">
        <v>130243.3992</v>
      </c>
      <c r="E9" s="45">
        <v>33056</v>
      </c>
      <c r="F9" s="51">
        <f t="shared" ref="F9:F18" si="3">E9/D9*100</f>
        <v>25.380172970792675</v>
      </c>
      <c r="G9" s="69">
        <f t="shared" si="2"/>
        <v>4.124481071007553</v>
      </c>
      <c r="H9" s="79">
        <v>368586</v>
      </c>
      <c r="I9" s="79">
        <v>88528</v>
      </c>
    </row>
    <row r="10" spans="1:9">
      <c r="A10" s="76" t="s">
        <v>6</v>
      </c>
      <c r="B10" s="45">
        <f>(365.78047/264.18)*1000000</f>
        <v>1384588.0460292224</v>
      </c>
      <c r="C10" s="45">
        <f t="shared" si="1"/>
        <v>801458.4</v>
      </c>
      <c r="D10" s="68">
        <v>130336.236</v>
      </c>
      <c r="E10" s="45">
        <v>33056</v>
      </c>
      <c r="F10" s="51">
        <f t="shared" si="3"/>
        <v>25.362095004799741</v>
      </c>
      <c r="G10" s="69">
        <f t="shared" si="2"/>
        <v>4.124481071007553</v>
      </c>
      <c r="H10" s="79">
        <v>368337</v>
      </c>
      <c r="I10" s="79">
        <v>88522</v>
      </c>
    </row>
    <row r="11" spans="1:9">
      <c r="A11" s="76" t="s">
        <v>7</v>
      </c>
      <c r="B11" s="45">
        <f>(357.13558/264.18)*1000000</f>
        <v>1351864.5620410326</v>
      </c>
      <c r="C11" s="45">
        <f t="shared" si="1"/>
        <v>801458.4</v>
      </c>
      <c r="D11" s="68">
        <v>130367.18160000001</v>
      </c>
      <c r="E11" s="45">
        <v>33056</v>
      </c>
      <c r="F11" s="51">
        <f t="shared" si="3"/>
        <v>25.356074737754398</v>
      </c>
      <c r="G11" s="69">
        <f t="shared" si="2"/>
        <v>4.124481071007553</v>
      </c>
      <c r="H11" s="79">
        <v>368513</v>
      </c>
      <c r="I11" s="79">
        <v>88503</v>
      </c>
    </row>
    <row r="12" spans="1:9">
      <c r="A12" s="76" t="s">
        <v>8</v>
      </c>
      <c r="B12" s="45">
        <f>(356.46907/264.18)*1000000</f>
        <v>1349341.6231357406</v>
      </c>
      <c r="C12" s="45">
        <f t="shared" si="1"/>
        <v>801458.4</v>
      </c>
      <c r="D12" s="68">
        <v>130447.49280000001</v>
      </c>
      <c r="E12" s="45">
        <v>33056</v>
      </c>
      <c r="F12" s="51">
        <f t="shared" si="3"/>
        <v>25.340464036883354</v>
      </c>
      <c r="G12" s="69">
        <f t="shared" si="2"/>
        <v>4.124481071007553</v>
      </c>
      <c r="H12" s="79">
        <v>368013</v>
      </c>
      <c r="I12" s="79">
        <v>88502</v>
      </c>
    </row>
    <row r="13" spans="1:9">
      <c r="A13" s="76" t="s">
        <v>9</v>
      </c>
      <c r="B13" s="45">
        <f>(352.67881/264.18)*1000000</f>
        <v>1334994.3599061244</v>
      </c>
      <c r="C13" s="45">
        <f t="shared" si="1"/>
        <v>801458.4</v>
      </c>
      <c r="D13" s="45">
        <v>130661.90160000001</v>
      </c>
      <c r="E13" s="45">
        <v>33056</v>
      </c>
      <c r="F13" s="51">
        <f t="shared" si="3"/>
        <v>25.29888176677202</v>
      </c>
      <c r="G13" s="69">
        <f t="shared" si="2"/>
        <v>4.124481071007553</v>
      </c>
      <c r="H13" s="79">
        <v>368116</v>
      </c>
      <c r="I13" s="79">
        <v>88525</v>
      </c>
    </row>
    <row r="14" spans="1:9">
      <c r="A14" s="76" t="s">
        <v>10</v>
      </c>
      <c r="B14" s="45">
        <f>(361.32297/264.18)*1000000</f>
        <v>1367715.0806268451</v>
      </c>
      <c r="C14" s="45">
        <f t="shared" si="1"/>
        <v>801458.4</v>
      </c>
      <c r="D14" s="45">
        <v>130972.8312</v>
      </c>
      <c r="E14" s="45">
        <v>33056</v>
      </c>
      <c r="F14" s="51">
        <f>E14/D14*100</f>
        <v>25.238822202386658</v>
      </c>
      <c r="G14" s="69">
        <f t="shared" si="2"/>
        <v>4.124481071007553</v>
      </c>
      <c r="H14" s="79">
        <v>368167</v>
      </c>
      <c r="I14" s="79">
        <v>88524</v>
      </c>
    </row>
    <row r="15" spans="1:9">
      <c r="A15" s="76" t="s">
        <v>11</v>
      </c>
      <c r="B15" s="45">
        <f>(368.92463/264.18)*1000000</f>
        <v>1396489.6282837458</v>
      </c>
      <c r="C15" s="45">
        <f>((3197391)*300*80%/1000)</f>
        <v>767373.84</v>
      </c>
      <c r="D15" s="45">
        <v>130365.708</v>
      </c>
      <c r="E15" s="45">
        <v>25056</v>
      </c>
      <c r="F15" s="51">
        <f t="shared" si="3"/>
        <v>19.219778256410805</v>
      </c>
      <c r="G15" s="69">
        <f t="shared" si="2"/>
        <v>3.2651621274970752</v>
      </c>
      <c r="H15" s="79">
        <v>355988</v>
      </c>
      <c r="I15" s="79">
        <v>87791</v>
      </c>
    </row>
    <row r="16" spans="1:9">
      <c r="A16" s="76" t="s">
        <v>12</v>
      </c>
      <c r="B16" s="45">
        <f>(355.60381/264.18)*1000000</f>
        <v>1346066.3562722385</v>
      </c>
      <c r="C16" s="45">
        <f>((3197391)*300*80%/1000)</f>
        <v>767373.84</v>
      </c>
      <c r="D16" s="45">
        <v>131616.79439999998</v>
      </c>
      <c r="E16" s="45">
        <v>25056</v>
      </c>
      <c r="F16" s="51">
        <f t="shared" si="3"/>
        <v>19.037084221829371</v>
      </c>
      <c r="G16" s="69">
        <f t="shared" si="2"/>
        <v>3.2651621274970752</v>
      </c>
      <c r="H16" s="79">
        <v>356196</v>
      </c>
      <c r="I16" s="79">
        <v>88010</v>
      </c>
    </row>
    <row r="17" spans="1:9">
      <c r="A17" s="76" t="s">
        <v>13</v>
      </c>
      <c r="B17" s="45">
        <f>(344.75813/264.18)*1000000</f>
        <v>1305012.2265122263</v>
      </c>
      <c r="C17" s="45">
        <v>767373.84</v>
      </c>
      <c r="D17" s="45">
        <v>144373.74959999998</v>
      </c>
      <c r="E17" s="45">
        <v>25056</v>
      </c>
      <c r="F17" s="51">
        <f t="shared" si="3"/>
        <v>17.35495550224319</v>
      </c>
      <c r="G17" s="69">
        <f t="shared" si="2"/>
        <v>3.2651621274970752</v>
      </c>
      <c r="H17" s="79">
        <v>356600</v>
      </c>
      <c r="I17" s="79">
        <v>103319</v>
      </c>
    </row>
    <row r="18" spans="1:9">
      <c r="A18" s="77" t="s">
        <v>14</v>
      </c>
      <c r="B18" s="70">
        <f>(344.50977/264.18)*1000000</f>
        <v>1304072.1099250512</v>
      </c>
      <c r="C18" s="70">
        <v>767373.84</v>
      </c>
      <c r="D18" s="70">
        <v>148246.37040000001</v>
      </c>
      <c r="E18" s="70">
        <v>25056</v>
      </c>
      <c r="F18" s="71">
        <f t="shared" si="3"/>
        <v>16.901594239638797</v>
      </c>
      <c r="G18" s="72">
        <f t="shared" si="2"/>
        <v>3.2651621274970752</v>
      </c>
      <c r="H18" s="83">
        <v>356865</v>
      </c>
      <c r="I18" s="83">
        <v>105852</v>
      </c>
    </row>
    <row r="19" spans="1:9" ht="9.75" customHeight="1">
      <c r="A19" s="91" t="s">
        <v>59</v>
      </c>
      <c r="B19" s="92"/>
      <c r="C19" s="33"/>
      <c r="D19" s="33"/>
      <c r="E19" s="33"/>
      <c r="F19" s="34"/>
      <c r="G19" s="35"/>
      <c r="H19" s="36"/>
      <c r="I19" s="36"/>
    </row>
    <row r="20" spans="1:9" ht="10.5" customHeight="1">
      <c r="A20" s="93" t="s">
        <v>63</v>
      </c>
      <c r="B20" s="93"/>
      <c r="C20" s="93"/>
      <c r="D20" s="93"/>
      <c r="E20" s="93"/>
      <c r="F20" s="93"/>
      <c r="G20" s="93"/>
      <c r="H20" s="93"/>
      <c r="I20" s="93"/>
    </row>
    <row r="21" spans="1:9" ht="10.5" customHeight="1">
      <c r="A21" s="93" t="s">
        <v>26</v>
      </c>
      <c r="B21" s="93"/>
      <c r="C21" s="93"/>
      <c r="D21" s="93"/>
      <c r="E21" s="93"/>
      <c r="F21" s="93"/>
      <c r="G21" s="93"/>
      <c r="H21" s="93"/>
      <c r="I21" s="93"/>
    </row>
    <row r="22" spans="1:9" ht="10.5" customHeight="1">
      <c r="A22" s="93" t="s">
        <v>27</v>
      </c>
      <c r="B22" s="93"/>
      <c r="C22" s="93"/>
      <c r="D22" s="93"/>
      <c r="E22" s="93"/>
      <c r="F22" s="93"/>
      <c r="G22" s="93"/>
      <c r="H22" s="93"/>
      <c r="I22" s="93"/>
    </row>
    <row r="23" spans="1:9" ht="10.5" customHeight="1">
      <c r="A23" s="93" t="s">
        <v>28</v>
      </c>
      <c r="B23" s="93"/>
      <c r="C23" s="93"/>
      <c r="D23" s="93"/>
      <c r="E23" s="93"/>
      <c r="F23" s="93"/>
      <c r="G23" s="93"/>
      <c r="H23" s="93"/>
      <c r="I23" s="93"/>
    </row>
    <row r="24" spans="1:9" ht="10.5" customHeight="1">
      <c r="A24" s="93" t="s">
        <v>38</v>
      </c>
      <c r="B24" s="93"/>
      <c r="C24" s="93"/>
      <c r="D24" s="93"/>
      <c r="E24" s="93"/>
      <c r="F24" s="93"/>
      <c r="G24" s="93"/>
      <c r="H24" s="93"/>
      <c r="I24" s="93"/>
    </row>
    <row r="25" spans="1:9" ht="10.5" customHeight="1">
      <c r="A25" s="93" t="s">
        <v>30</v>
      </c>
      <c r="B25" s="93"/>
      <c r="C25" s="93"/>
      <c r="D25" s="93"/>
      <c r="E25" s="93"/>
      <c r="F25" s="93"/>
      <c r="G25" s="93"/>
      <c r="H25" s="93"/>
      <c r="I25" s="93"/>
    </row>
    <row r="26" spans="1:9" ht="10.5" customHeight="1">
      <c r="A26" s="93" t="s">
        <v>39</v>
      </c>
      <c r="B26" s="93"/>
      <c r="C26" s="93"/>
      <c r="D26" s="93"/>
      <c r="E26" s="93"/>
      <c r="F26" s="93"/>
      <c r="G26" s="93"/>
      <c r="H26" s="93"/>
      <c r="I26" s="93"/>
    </row>
    <row r="27" spans="1:9" ht="10.5" customHeight="1">
      <c r="A27" s="93" t="s">
        <v>15</v>
      </c>
      <c r="B27" s="93"/>
      <c r="C27" s="93"/>
      <c r="D27" s="93"/>
      <c r="E27" s="93"/>
      <c r="F27" s="93"/>
      <c r="G27" s="93"/>
      <c r="H27" s="93"/>
      <c r="I27" s="93"/>
    </row>
    <row r="28" spans="1:9" ht="15" customHeight="1">
      <c r="A28" s="93" t="s">
        <v>17</v>
      </c>
      <c r="B28" s="93"/>
      <c r="C28" s="93"/>
      <c r="D28" s="93"/>
      <c r="E28" s="93"/>
      <c r="F28" s="93"/>
      <c r="G28" s="93"/>
      <c r="H28" s="93"/>
      <c r="I28" s="93"/>
    </row>
    <row r="29" spans="1:9" ht="10.5" customHeight="1">
      <c r="A29" s="93" t="s">
        <v>25</v>
      </c>
      <c r="B29" s="93"/>
      <c r="C29" s="93"/>
      <c r="D29" s="93"/>
      <c r="E29" s="93"/>
      <c r="F29" s="93"/>
      <c r="G29" s="93"/>
      <c r="H29" s="93"/>
      <c r="I29" s="93"/>
    </row>
    <row r="30" spans="1:9">
      <c r="A30" s="122"/>
      <c r="B30" s="122"/>
      <c r="C30" s="122"/>
      <c r="D30" s="122"/>
      <c r="E30" s="122"/>
      <c r="F30" s="122"/>
      <c r="G30" s="122"/>
      <c r="H30" s="122"/>
      <c r="I30" s="122"/>
    </row>
  </sheetData>
  <mergeCells count="4">
    <mergeCell ref="A30:I30"/>
    <mergeCell ref="A1:I1"/>
    <mergeCell ref="A2:I2"/>
    <mergeCell ref="A4:A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workbookViewId="0">
      <selection activeCell="A2" sqref="A2:H2"/>
    </sheetView>
  </sheetViews>
  <sheetFormatPr baseColWidth="10" defaultColWidth="11.42578125" defaultRowHeight="12"/>
  <cols>
    <col min="1" max="1" width="15.28515625" style="12" customWidth="1"/>
    <col min="2" max="3" width="17.140625" style="12" customWidth="1"/>
    <col min="4" max="4" width="21.5703125" style="12" customWidth="1"/>
    <col min="5" max="8" width="17.140625" style="12" customWidth="1"/>
    <col min="9" max="16384" width="11.42578125" style="12"/>
  </cols>
  <sheetData>
    <row r="1" spans="1:9" s="6" customFormat="1" ht="14.25" customHeight="1">
      <c r="A1" s="118"/>
      <c r="B1" s="118"/>
      <c r="C1" s="118"/>
      <c r="D1" s="118"/>
      <c r="E1" s="118"/>
      <c r="F1" s="118"/>
      <c r="G1" s="118"/>
      <c r="H1" s="118"/>
    </row>
    <row r="2" spans="1:9" s="6" customFormat="1">
      <c r="A2" s="119" t="s">
        <v>89</v>
      </c>
      <c r="B2" s="119"/>
      <c r="C2" s="119"/>
      <c r="D2" s="119"/>
      <c r="E2" s="119"/>
      <c r="F2" s="119"/>
      <c r="G2" s="119"/>
      <c r="H2" s="119"/>
    </row>
    <row r="3" spans="1:9" s="6" customFormat="1" ht="14.25" customHeight="1">
      <c r="A3" s="2"/>
      <c r="B3" s="3"/>
      <c r="C3" s="3"/>
      <c r="D3" s="4"/>
      <c r="E3" s="4"/>
      <c r="F3" s="5"/>
    </row>
    <row r="4" spans="1:9" s="6" customFormat="1" ht="67.5" customHeight="1">
      <c r="A4" s="120" t="s">
        <v>0</v>
      </c>
      <c r="B4" s="13" t="s">
        <v>31</v>
      </c>
      <c r="C4" s="13" t="s">
        <v>32</v>
      </c>
      <c r="D4" s="13" t="s">
        <v>33</v>
      </c>
      <c r="E4" s="13" t="s">
        <v>1</v>
      </c>
      <c r="F4" s="13" t="s">
        <v>34</v>
      </c>
      <c r="G4" s="13" t="s">
        <v>35</v>
      </c>
      <c r="H4" s="13" t="s">
        <v>36</v>
      </c>
    </row>
    <row r="5" spans="1:9" s="6" customFormat="1" ht="14.25">
      <c r="A5" s="121"/>
      <c r="B5" s="15" t="s">
        <v>37</v>
      </c>
      <c r="C5" s="15" t="s">
        <v>37</v>
      </c>
      <c r="D5" s="15" t="s">
        <v>37</v>
      </c>
      <c r="E5" s="15" t="s">
        <v>37</v>
      </c>
      <c r="F5" s="15" t="s">
        <v>2</v>
      </c>
      <c r="G5" s="15"/>
      <c r="H5" s="15"/>
    </row>
    <row r="6" spans="1:9" s="6" customFormat="1" ht="12" customHeight="1">
      <c r="A6" s="58" t="s">
        <v>68</v>
      </c>
      <c r="B6" s="46">
        <f>AVERAGE(B7:B18)</f>
        <v>1300367.8047795694</v>
      </c>
      <c r="C6" s="46">
        <f t="shared" ref="C6:H6" si="0">AVERAGE(C7:C18)</f>
        <v>767373.84</v>
      </c>
      <c r="D6" s="46">
        <f t="shared" si="0"/>
        <v>152779.3966666667</v>
      </c>
      <c r="E6" s="46">
        <f t="shared" si="0"/>
        <v>25056</v>
      </c>
      <c r="F6" s="46">
        <f t="shared" si="0"/>
        <v>16.405090237815696</v>
      </c>
      <c r="G6" s="81">
        <f t="shared" si="0"/>
        <v>356722.5</v>
      </c>
      <c r="H6" s="81">
        <f t="shared" si="0"/>
        <v>106781.16666666667</v>
      </c>
    </row>
    <row r="7" spans="1:9" s="6" customFormat="1" ht="13.5" customHeight="1">
      <c r="A7" s="73" t="s">
        <v>3</v>
      </c>
      <c r="B7" s="48">
        <f>(343.57/264.18)*1000000</f>
        <v>1300514.8005148005</v>
      </c>
      <c r="C7" s="48">
        <f>(3197391*300*80%/1000)</f>
        <v>767373.84</v>
      </c>
      <c r="D7" s="50">
        <v>149193.48000000001</v>
      </c>
      <c r="E7" s="48">
        <v>25056</v>
      </c>
      <c r="F7" s="49">
        <f t="shared" ref="F7:F18" si="1">E7/D7*100</f>
        <v>16.794299590035703</v>
      </c>
      <c r="G7" s="78">
        <v>356965</v>
      </c>
      <c r="H7" s="78">
        <v>105932</v>
      </c>
      <c r="I7" s="22"/>
    </row>
    <row r="8" spans="1:9" s="6" customFormat="1" ht="13.5" customHeight="1">
      <c r="A8" s="73" t="s">
        <v>4</v>
      </c>
      <c r="B8" s="48">
        <f>(353.88/264.18)*1000000</f>
        <v>1339541.2218941629</v>
      </c>
      <c r="C8" s="48">
        <f>(3197391*300*80%/1000)</f>
        <v>767373.84</v>
      </c>
      <c r="D8" s="50">
        <v>149356.84</v>
      </c>
      <c r="E8" s="48">
        <v>25056</v>
      </c>
      <c r="F8" s="49">
        <f t="shared" si="1"/>
        <v>16.775930717334404</v>
      </c>
      <c r="G8" s="78">
        <v>356921</v>
      </c>
      <c r="H8" s="78">
        <v>106240</v>
      </c>
      <c r="I8" s="22"/>
    </row>
    <row r="9" spans="1:9" s="6" customFormat="1" ht="13.5" customHeight="1">
      <c r="A9" s="73" t="s">
        <v>5</v>
      </c>
      <c r="B9" s="48">
        <f>(337.73/264.18)*1000000</f>
        <v>1278408.6607616018</v>
      </c>
      <c r="C9" s="48">
        <f>(3197391*300*80%/1000)</f>
        <v>767373.84</v>
      </c>
      <c r="D9" s="50">
        <v>150236.49</v>
      </c>
      <c r="E9" s="48">
        <v>25056</v>
      </c>
      <c r="F9" s="49">
        <f t="shared" si="1"/>
        <v>16.677705928832605</v>
      </c>
      <c r="G9" s="78">
        <v>356895</v>
      </c>
      <c r="H9" s="78">
        <v>105920</v>
      </c>
      <c r="I9" s="22"/>
    </row>
    <row r="10" spans="1:9" s="6" customFormat="1" ht="13.5" customHeight="1">
      <c r="A10" s="73" t="s">
        <v>6</v>
      </c>
      <c r="B10" s="48">
        <f>(321.008/264.18)*1000000</f>
        <v>1215110.9092285561</v>
      </c>
      <c r="C10" s="48">
        <f>(3197391*300*80%/1000)</f>
        <v>767373.84</v>
      </c>
      <c r="D10" s="50">
        <v>150424.98000000001</v>
      </c>
      <c r="E10" s="48">
        <v>25056</v>
      </c>
      <c r="F10" s="49">
        <f t="shared" si="1"/>
        <v>16.656807931767716</v>
      </c>
      <c r="G10" s="78">
        <v>356767</v>
      </c>
      <c r="H10" s="78">
        <v>105787</v>
      </c>
      <c r="I10" s="22"/>
    </row>
    <row r="11" spans="1:9" s="6" customFormat="1" ht="13.5" customHeight="1">
      <c r="A11" s="73" t="s">
        <v>7</v>
      </c>
      <c r="B11" s="48">
        <f>(337.413/264.18)*1000000</f>
        <v>1277208.7213263684</v>
      </c>
      <c r="C11" s="48">
        <f t="shared" ref="C11:C18" si="2">(3197391*300*80%/1000)</f>
        <v>767373.84</v>
      </c>
      <c r="D11" s="50">
        <v>151034.82</v>
      </c>
      <c r="E11" s="48">
        <v>25056</v>
      </c>
      <c r="F11" s="49">
        <f t="shared" si="1"/>
        <v>16.589551998671563</v>
      </c>
      <c r="G11" s="78">
        <v>356669</v>
      </c>
      <c r="H11" s="78">
        <v>105938</v>
      </c>
      <c r="I11" s="22"/>
    </row>
    <row r="12" spans="1:9" s="6" customFormat="1" ht="13.5" customHeight="1">
      <c r="A12" s="73" t="s">
        <v>8</v>
      </c>
      <c r="B12" s="48">
        <f>(314.35/264.18)*1000000</f>
        <v>1189908.3957907488</v>
      </c>
      <c r="C12" s="48">
        <f t="shared" si="2"/>
        <v>767373.84</v>
      </c>
      <c r="D12" s="50">
        <v>152863.6</v>
      </c>
      <c r="E12" s="48">
        <v>25056</v>
      </c>
      <c r="F12" s="49">
        <f t="shared" si="1"/>
        <v>16.391083292556239</v>
      </c>
      <c r="G12" s="78">
        <v>356365</v>
      </c>
      <c r="H12" s="78">
        <v>106467</v>
      </c>
      <c r="I12" s="22"/>
    </row>
    <row r="13" spans="1:9" s="6" customFormat="1" ht="13.5" customHeight="1">
      <c r="A13" s="73" t="s">
        <v>9</v>
      </c>
      <c r="B13" s="48">
        <f>(304.966/264.18)*1000000</f>
        <v>1154387.1602695133</v>
      </c>
      <c r="C13" s="48">
        <f t="shared" si="2"/>
        <v>767373.84</v>
      </c>
      <c r="D13" s="50">
        <v>153284.21</v>
      </c>
      <c r="E13" s="48">
        <v>25056</v>
      </c>
      <c r="F13" s="49">
        <f t="shared" si="1"/>
        <v>16.34610636020501</v>
      </c>
      <c r="G13" s="78">
        <v>356201</v>
      </c>
      <c r="H13" s="78">
        <v>106523</v>
      </c>
      <c r="I13" s="22"/>
    </row>
    <row r="14" spans="1:9" s="6" customFormat="1" ht="13.5" customHeight="1">
      <c r="A14" s="73" t="s">
        <v>10</v>
      </c>
      <c r="B14" s="48">
        <f>(326.686/264.18)*1000000</f>
        <v>1236603.8307214777</v>
      </c>
      <c r="C14" s="48">
        <f t="shared" si="2"/>
        <v>767373.84</v>
      </c>
      <c r="D14" s="50">
        <v>153349.26</v>
      </c>
      <c r="E14" s="48">
        <v>25056</v>
      </c>
      <c r="F14" s="49">
        <f t="shared" si="1"/>
        <v>16.339172422481855</v>
      </c>
      <c r="G14" s="78">
        <v>356288</v>
      </c>
      <c r="H14" s="78">
        <v>107082</v>
      </c>
      <c r="I14" s="22"/>
    </row>
    <row r="15" spans="1:9" s="6" customFormat="1" ht="13.5" customHeight="1">
      <c r="A15" s="73" t="s">
        <v>11</v>
      </c>
      <c r="B15" s="48">
        <f>(353.887/264.18)*1000000</f>
        <v>1339567.7189794837</v>
      </c>
      <c r="C15" s="48">
        <f t="shared" si="2"/>
        <v>767373.84</v>
      </c>
      <c r="D15" s="50">
        <v>154163.12</v>
      </c>
      <c r="E15" s="48">
        <v>25056</v>
      </c>
      <c r="F15" s="49">
        <f t="shared" si="1"/>
        <v>16.252914445426377</v>
      </c>
      <c r="G15" s="78">
        <v>356535</v>
      </c>
      <c r="H15" s="78">
        <v>107369</v>
      </c>
      <c r="I15" s="22"/>
    </row>
    <row r="16" spans="1:9" s="6" customFormat="1" ht="13.5" customHeight="1">
      <c r="A16" s="73" t="s">
        <v>12</v>
      </c>
      <c r="B16" s="48">
        <f>(358.324/264.18)*1000000</f>
        <v>1356363.0857748506</v>
      </c>
      <c r="C16" s="48">
        <f t="shared" si="2"/>
        <v>767373.84</v>
      </c>
      <c r="D16" s="48">
        <v>155403.49</v>
      </c>
      <c r="E16" s="48">
        <v>25056</v>
      </c>
      <c r="F16" s="49">
        <f t="shared" si="1"/>
        <v>16.12319002616994</v>
      </c>
      <c r="G16" s="78">
        <v>356714</v>
      </c>
      <c r="H16" s="78">
        <v>107485</v>
      </c>
      <c r="I16" s="22"/>
    </row>
    <row r="17" spans="1:9" s="6" customFormat="1" ht="13.5" customHeight="1">
      <c r="A17" s="73" t="s">
        <v>13</v>
      </c>
      <c r="B17" s="48">
        <f>(390.431/264.18)*1000000</f>
        <v>1477897.6455447043</v>
      </c>
      <c r="C17" s="48">
        <f t="shared" si="2"/>
        <v>767373.84</v>
      </c>
      <c r="D17" s="48">
        <v>156663.82999999999</v>
      </c>
      <c r="E17" s="48">
        <v>25056</v>
      </c>
      <c r="F17" s="49">
        <f t="shared" si="1"/>
        <v>15.993481073455182</v>
      </c>
      <c r="G17" s="78">
        <v>356979</v>
      </c>
      <c r="H17" s="78">
        <v>108022</v>
      </c>
      <c r="I17" s="22"/>
    </row>
    <row r="18" spans="1:9" s="6" customFormat="1" ht="13.5" customHeight="1">
      <c r="A18" s="74" t="s">
        <v>14</v>
      </c>
      <c r="B18" s="52">
        <f>(380.129/264.18)*1000000</f>
        <v>1438901.5065485653</v>
      </c>
      <c r="C18" s="52">
        <f t="shared" si="2"/>
        <v>767373.84</v>
      </c>
      <c r="D18" s="52">
        <v>157378.64000000001</v>
      </c>
      <c r="E18" s="52">
        <v>25056</v>
      </c>
      <c r="F18" s="55">
        <f t="shared" si="1"/>
        <v>15.920839066851764</v>
      </c>
      <c r="G18" s="80">
        <v>357371</v>
      </c>
      <c r="H18" s="80">
        <v>108609</v>
      </c>
      <c r="I18" s="22"/>
    </row>
    <row r="19" spans="1:9" s="6" customFormat="1" ht="13.5" customHeight="1">
      <c r="A19" s="23" t="s">
        <v>78</v>
      </c>
      <c r="B19" s="90"/>
      <c r="C19" s="37"/>
      <c r="D19" s="37"/>
      <c r="E19" s="37"/>
      <c r="F19" s="38"/>
      <c r="G19" s="39"/>
      <c r="H19" s="39"/>
      <c r="I19" s="40"/>
    </row>
    <row r="20" spans="1:9" s="6" customFormat="1" ht="11.25" customHeight="1">
      <c r="A20" s="29" t="s">
        <v>63</v>
      </c>
      <c r="B20" s="29"/>
      <c r="C20" s="29"/>
      <c r="D20" s="29"/>
      <c r="E20" s="29"/>
      <c r="F20" s="29"/>
      <c r="G20" s="29"/>
      <c r="H20" s="29"/>
    </row>
    <row r="21" spans="1:9" s="6" customFormat="1" ht="11.25" customHeight="1">
      <c r="A21" s="29" t="s">
        <v>42</v>
      </c>
      <c r="B21" s="29"/>
      <c r="C21" s="29"/>
      <c r="D21" s="29"/>
      <c r="E21" s="29"/>
      <c r="F21" s="29"/>
      <c r="G21" s="29"/>
      <c r="H21" s="29"/>
    </row>
    <row r="22" spans="1:9" s="6" customFormat="1" ht="11.25" customHeight="1">
      <c r="A22" s="29" t="s">
        <v>27</v>
      </c>
      <c r="B22" s="29"/>
      <c r="C22" s="29"/>
      <c r="D22" s="29"/>
      <c r="E22" s="29"/>
      <c r="F22" s="29"/>
      <c r="G22" s="29"/>
      <c r="H22" s="29"/>
    </row>
    <row r="23" spans="1:9" s="6" customFormat="1" ht="11.25" customHeight="1">
      <c r="A23" s="29" t="s">
        <v>28</v>
      </c>
      <c r="B23" s="29"/>
      <c r="C23" s="29"/>
      <c r="D23" s="29"/>
      <c r="E23" s="29"/>
      <c r="F23" s="29"/>
      <c r="G23" s="29"/>
      <c r="H23" s="29"/>
    </row>
    <row r="24" spans="1:9" s="6" customFormat="1" ht="11.25" customHeight="1">
      <c r="A24" s="29" t="s">
        <v>29</v>
      </c>
      <c r="B24" s="29"/>
      <c r="C24" s="29"/>
      <c r="D24" s="29"/>
      <c r="E24" s="29"/>
      <c r="F24" s="29"/>
      <c r="G24" s="29"/>
      <c r="H24" s="29"/>
    </row>
    <row r="25" spans="1:9" s="6" customFormat="1" ht="11.25" customHeight="1">
      <c r="A25" s="29" t="s">
        <v>30</v>
      </c>
      <c r="B25" s="29"/>
      <c r="C25" s="29"/>
      <c r="D25" s="29"/>
      <c r="E25" s="29"/>
      <c r="F25" s="29"/>
      <c r="G25" s="29"/>
      <c r="H25" s="29"/>
    </row>
    <row r="26" spans="1:9" s="6" customFormat="1" ht="11.25" customHeight="1">
      <c r="A26" s="29" t="s">
        <v>79</v>
      </c>
      <c r="B26" s="29"/>
      <c r="C26" s="29"/>
      <c r="D26" s="29"/>
      <c r="E26" s="29"/>
      <c r="F26" s="29"/>
      <c r="G26" s="29"/>
      <c r="H26" s="29"/>
    </row>
    <row r="27" spans="1:9" s="6" customFormat="1" ht="11.25" customHeight="1">
      <c r="A27" s="29" t="s">
        <v>18</v>
      </c>
      <c r="B27" s="29"/>
      <c r="C27" s="29"/>
      <c r="D27" s="29"/>
      <c r="E27" s="29"/>
      <c r="F27" s="29"/>
      <c r="G27" s="29"/>
      <c r="H27" s="29"/>
    </row>
    <row r="28" spans="1:9" s="6" customFormat="1">
      <c r="A28" s="127"/>
      <c r="B28" s="127"/>
      <c r="C28" s="127"/>
      <c r="D28" s="127"/>
      <c r="E28" s="127"/>
      <c r="F28" s="127"/>
      <c r="G28" s="127"/>
      <c r="H28" s="127"/>
    </row>
  </sheetData>
  <mergeCells count="4">
    <mergeCell ref="A28:H28"/>
    <mergeCell ref="A1:H1"/>
    <mergeCell ref="A2:H2"/>
    <mergeCell ref="A4:A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A2" sqref="A2:H2"/>
    </sheetView>
  </sheetViews>
  <sheetFormatPr baseColWidth="10" defaultColWidth="11.42578125" defaultRowHeight="12"/>
  <cols>
    <col min="1" max="1" width="13.140625" style="12" customWidth="1"/>
    <col min="2" max="3" width="16.5703125" style="12" customWidth="1"/>
    <col min="4" max="4" width="20.85546875" style="12" customWidth="1"/>
    <col min="5" max="8" width="16.5703125" style="12" customWidth="1"/>
    <col min="9" max="16384" width="11.42578125" style="12"/>
  </cols>
  <sheetData>
    <row r="1" spans="1:9" s="6" customFormat="1" ht="14.25" customHeight="1">
      <c r="A1" s="118"/>
      <c r="B1" s="118"/>
      <c r="C1" s="118"/>
      <c r="D1" s="118"/>
      <c r="E1" s="118"/>
      <c r="F1" s="118"/>
      <c r="G1" s="118"/>
      <c r="H1" s="118"/>
    </row>
    <row r="2" spans="1:9" s="6" customFormat="1">
      <c r="A2" s="119" t="s">
        <v>90</v>
      </c>
      <c r="B2" s="119"/>
      <c r="C2" s="119"/>
      <c r="D2" s="119"/>
      <c r="E2" s="119"/>
      <c r="F2" s="119"/>
      <c r="G2" s="119"/>
      <c r="H2" s="119"/>
    </row>
    <row r="3" spans="1:9" s="6" customFormat="1" ht="14.25" customHeight="1">
      <c r="A3" s="2"/>
      <c r="B3" s="3"/>
      <c r="C3" s="3"/>
      <c r="D3" s="4"/>
      <c r="E3" s="4"/>
      <c r="F3" s="5"/>
    </row>
    <row r="4" spans="1:9" s="6" customFormat="1" ht="67.5" customHeight="1">
      <c r="A4" s="120" t="s">
        <v>0</v>
      </c>
      <c r="B4" s="13" t="s">
        <v>31</v>
      </c>
      <c r="C4" s="13" t="s">
        <v>32</v>
      </c>
      <c r="D4" s="13" t="s">
        <v>33</v>
      </c>
      <c r="E4" s="13" t="s">
        <v>1</v>
      </c>
      <c r="F4" s="13" t="s">
        <v>34</v>
      </c>
      <c r="G4" s="13" t="s">
        <v>35</v>
      </c>
      <c r="H4" s="13" t="s">
        <v>36</v>
      </c>
    </row>
    <row r="5" spans="1:9" s="6" customFormat="1" ht="14.25">
      <c r="A5" s="121"/>
      <c r="B5" s="15" t="s">
        <v>37</v>
      </c>
      <c r="C5" s="15" t="s">
        <v>37</v>
      </c>
      <c r="D5" s="15" t="s">
        <v>37</v>
      </c>
      <c r="E5" s="15" t="s">
        <v>37</v>
      </c>
      <c r="F5" s="15" t="s">
        <v>2</v>
      </c>
      <c r="G5" s="15"/>
      <c r="H5" s="15"/>
    </row>
    <row r="6" spans="1:9" s="6" customFormat="1" ht="12" customHeight="1">
      <c r="A6" s="58" t="s">
        <v>68</v>
      </c>
      <c r="B6" s="46">
        <f>AVERAGE(B7:B18)</f>
        <v>1319850.1022030434</v>
      </c>
      <c r="C6" s="46">
        <f t="shared" ref="C6:H6" si="0">AVERAGE(C7:C18)</f>
        <v>767373.84</v>
      </c>
      <c r="D6" s="46">
        <f>AVERAGE(D7:D18)</f>
        <v>161091.22833333333</v>
      </c>
      <c r="E6" s="46">
        <f t="shared" si="0"/>
        <v>45083.520000000011</v>
      </c>
      <c r="F6" s="46">
        <f t="shared" si="0"/>
        <v>27.989787742978312</v>
      </c>
      <c r="G6" s="81">
        <f t="shared" si="0"/>
        <v>358879.5</v>
      </c>
      <c r="H6" s="81">
        <f t="shared" si="0"/>
        <v>111114.5</v>
      </c>
    </row>
    <row r="7" spans="1:9" s="6" customFormat="1" ht="13.5" customHeight="1">
      <c r="A7" s="73" t="s">
        <v>3</v>
      </c>
      <c r="B7" s="48">
        <f>(354.59/264.18)*1000000</f>
        <v>1342228.7834052537</v>
      </c>
      <c r="C7" s="48">
        <f>(3197391*300*80%/1000)</f>
        <v>767373.84</v>
      </c>
      <c r="D7" s="50">
        <v>157952.26</v>
      </c>
      <c r="E7" s="48">
        <v>45083.519999999997</v>
      </c>
      <c r="F7" s="49">
        <f t="shared" ref="F7:F18" si="1">E7/D7*100</f>
        <v>28.542497587562217</v>
      </c>
      <c r="G7" s="78">
        <v>357679</v>
      </c>
      <c r="H7" s="78">
        <v>109018</v>
      </c>
      <c r="I7" s="22"/>
    </row>
    <row r="8" spans="1:9" s="6" customFormat="1" ht="13.5" customHeight="1">
      <c r="A8" s="73" t="s">
        <v>4</v>
      </c>
      <c r="B8" s="48">
        <f>(381.13/264.18)*1000000</f>
        <v>1442690.5897494133</v>
      </c>
      <c r="C8" s="48">
        <f>(3197391*300*80%/1000)</f>
        <v>767373.84</v>
      </c>
      <c r="D8" s="50">
        <v>159206.68</v>
      </c>
      <c r="E8" s="48">
        <v>45083.519999999997</v>
      </c>
      <c r="F8" s="49">
        <f t="shared" si="1"/>
        <v>28.317605768803165</v>
      </c>
      <c r="G8" s="78">
        <v>357651</v>
      </c>
      <c r="H8" s="78">
        <v>109212</v>
      </c>
      <c r="I8" s="22"/>
    </row>
    <row r="9" spans="1:9" s="6" customFormat="1" ht="13.5" customHeight="1">
      <c r="A9" s="73" t="s">
        <v>5</v>
      </c>
      <c r="B9" s="48">
        <f>(357.24/264.18)*1000000</f>
        <v>1352259.8228480583</v>
      </c>
      <c r="C9" s="48">
        <f t="shared" ref="C9:C18" si="2">(3197391*300*80%/1000)</f>
        <v>767373.84</v>
      </c>
      <c r="D9" s="50">
        <v>159919.20000000001</v>
      </c>
      <c r="E9" s="48">
        <v>45083.519999999997</v>
      </c>
      <c r="F9" s="49">
        <f t="shared" si="1"/>
        <v>28.191436675521135</v>
      </c>
      <c r="G9" s="78">
        <v>357712</v>
      </c>
      <c r="H9" s="78">
        <v>109562</v>
      </c>
      <c r="I9" s="22"/>
    </row>
    <row r="10" spans="1:9" s="6" customFormat="1" ht="13.5" customHeight="1">
      <c r="A10" s="73" t="s">
        <v>6</v>
      </c>
      <c r="B10" s="48">
        <f>(344.3/264.18)*1000000</f>
        <v>1303278.0679839505</v>
      </c>
      <c r="C10" s="48">
        <f t="shared" si="2"/>
        <v>767373.84</v>
      </c>
      <c r="D10" s="50">
        <v>159765.6</v>
      </c>
      <c r="E10" s="48">
        <v>45083.519999999997</v>
      </c>
      <c r="F10" s="49">
        <f t="shared" si="1"/>
        <v>28.218540161336353</v>
      </c>
      <c r="G10" s="78">
        <v>357966</v>
      </c>
      <c r="H10" s="78">
        <v>110111</v>
      </c>
      <c r="I10" s="22"/>
    </row>
    <row r="11" spans="1:9" s="6" customFormat="1" ht="13.5" customHeight="1">
      <c r="A11" s="73" t="s">
        <v>7</v>
      </c>
      <c r="B11" s="48">
        <f>(323.8/264.18)*1000000</f>
        <v>1225679.4609735785</v>
      </c>
      <c r="C11" s="48">
        <f t="shared" si="2"/>
        <v>767373.84</v>
      </c>
      <c r="D11" s="50">
        <v>159818.4</v>
      </c>
      <c r="E11" s="48">
        <v>45083.519999999997</v>
      </c>
      <c r="F11" s="49">
        <f t="shared" si="1"/>
        <v>28.209217461819165</v>
      </c>
      <c r="G11" s="78">
        <v>358252</v>
      </c>
      <c r="H11" s="78">
        <v>110637</v>
      </c>
      <c r="I11" s="22"/>
    </row>
    <row r="12" spans="1:9" s="6" customFormat="1" ht="13.5" customHeight="1">
      <c r="A12" s="73" t="s">
        <v>8</v>
      </c>
      <c r="B12" s="48">
        <f>(337.658/264.18)*1000000</f>
        <v>1278136.11931259</v>
      </c>
      <c r="C12" s="48">
        <f t="shared" si="2"/>
        <v>767373.84</v>
      </c>
      <c r="D12" s="50">
        <v>160927.54</v>
      </c>
      <c r="E12" s="48">
        <v>45083.519999999997</v>
      </c>
      <c r="F12" s="49">
        <f t="shared" si="1"/>
        <v>28.014794733082972</v>
      </c>
      <c r="G12" s="78">
        <v>358552</v>
      </c>
      <c r="H12" s="78">
        <v>111270</v>
      </c>
      <c r="I12" s="22"/>
    </row>
    <row r="13" spans="1:9" s="6" customFormat="1" ht="13.5" customHeight="1">
      <c r="A13" s="73" t="s">
        <v>9</v>
      </c>
      <c r="B13" s="48">
        <f>(337.133/264.18)*1000000</f>
        <v>1276148.8379135437</v>
      </c>
      <c r="C13" s="48">
        <f t="shared" si="2"/>
        <v>767373.84</v>
      </c>
      <c r="D13" s="50">
        <v>161337.60000000001</v>
      </c>
      <c r="E13" s="48">
        <v>45083.519999999997</v>
      </c>
      <c r="F13" s="49">
        <f t="shared" si="1"/>
        <v>27.943591574437697</v>
      </c>
      <c r="G13" s="78">
        <v>358652</v>
      </c>
      <c r="H13" s="78">
        <v>111476</v>
      </c>
      <c r="I13" s="22"/>
    </row>
    <row r="14" spans="1:9" s="6" customFormat="1" ht="13.5" customHeight="1">
      <c r="A14" s="73" t="s">
        <v>10</v>
      </c>
      <c r="B14" s="48">
        <f>(309.614/264.18)*1000000</f>
        <v>1171981.2249224014</v>
      </c>
      <c r="C14" s="48">
        <f t="shared" si="2"/>
        <v>767373.84</v>
      </c>
      <c r="D14" s="50">
        <v>161717</v>
      </c>
      <c r="E14" s="48">
        <v>45083.519999999997</v>
      </c>
      <c r="F14" s="49">
        <f t="shared" si="1"/>
        <v>27.878033849255178</v>
      </c>
      <c r="G14" s="78">
        <v>358984</v>
      </c>
      <c r="H14" s="78">
        <v>111548</v>
      </c>
      <c r="I14" s="22"/>
    </row>
    <row r="15" spans="1:9" s="6" customFormat="1" ht="13.5" customHeight="1">
      <c r="A15" s="73" t="s">
        <v>11</v>
      </c>
      <c r="B15" s="48">
        <f>(350.36/264.18)*1000000</f>
        <v>1326216.973275797</v>
      </c>
      <c r="C15" s="48">
        <f t="shared" si="2"/>
        <v>767373.84</v>
      </c>
      <c r="D15" s="50">
        <v>161717</v>
      </c>
      <c r="E15" s="48">
        <v>45083.519999999997</v>
      </c>
      <c r="F15" s="49">
        <f t="shared" si="1"/>
        <v>27.878033849255178</v>
      </c>
      <c r="G15" s="78">
        <v>359896</v>
      </c>
      <c r="H15" s="78">
        <v>112418</v>
      </c>
      <c r="I15" s="22"/>
    </row>
    <row r="16" spans="1:9" s="6" customFormat="1" ht="13.5" customHeight="1">
      <c r="A16" s="73" t="s">
        <v>12</v>
      </c>
      <c r="B16" s="48">
        <f>(339.01/264.18)*1000000</f>
        <v>1283253.8420773714</v>
      </c>
      <c r="C16" s="48">
        <f t="shared" si="2"/>
        <v>767373.84</v>
      </c>
      <c r="D16" s="50">
        <v>162792</v>
      </c>
      <c r="E16" s="48">
        <v>45083.519999999997</v>
      </c>
      <c r="F16" s="49">
        <f t="shared" si="1"/>
        <v>27.693940734188409</v>
      </c>
      <c r="G16" s="78">
        <v>360543</v>
      </c>
      <c r="H16" s="78">
        <v>112688</v>
      </c>
      <c r="I16" s="22"/>
    </row>
    <row r="17" spans="1:9" s="6" customFormat="1" ht="13.5" customHeight="1">
      <c r="A17" s="73" t="s">
        <v>13</v>
      </c>
      <c r="B17" s="48">
        <f>(368.192/264.18)*1000000</f>
        <v>1393716.4054811113</v>
      </c>
      <c r="C17" s="48">
        <f t="shared" si="2"/>
        <v>767373.84</v>
      </c>
      <c r="D17" s="48">
        <v>163824.46</v>
      </c>
      <c r="E17" s="48">
        <v>45083.519999999997</v>
      </c>
      <c r="F17" s="49">
        <f t="shared" si="1"/>
        <v>27.519407053134799</v>
      </c>
      <c r="G17" s="78">
        <v>360771</v>
      </c>
      <c r="H17" s="78">
        <v>113016</v>
      </c>
      <c r="I17" s="22"/>
    </row>
    <row r="18" spans="1:9" s="6" customFormat="1" ht="13.5" customHeight="1">
      <c r="A18" s="74" t="s">
        <v>14</v>
      </c>
      <c r="B18" s="52">
        <f>(381.109/264.18)*1000000</f>
        <v>1442611.0984934513</v>
      </c>
      <c r="C18" s="52">
        <f t="shared" si="2"/>
        <v>767373.84</v>
      </c>
      <c r="D18" s="52">
        <v>164117</v>
      </c>
      <c r="E18" s="52">
        <v>45083.519999999997</v>
      </c>
      <c r="F18" s="55">
        <f t="shared" si="1"/>
        <v>27.470353467343418</v>
      </c>
      <c r="G18" s="80">
        <v>359896</v>
      </c>
      <c r="H18" s="80">
        <v>112418</v>
      </c>
      <c r="I18" s="22"/>
    </row>
    <row r="19" spans="1:9" s="6" customFormat="1" ht="13.5" customHeight="1">
      <c r="A19" s="94" t="s">
        <v>78</v>
      </c>
      <c r="B19" s="90"/>
      <c r="C19" s="10"/>
      <c r="D19" s="10"/>
      <c r="E19" s="10"/>
      <c r="F19" s="8"/>
      <c r="G19" s="9"/>
      <c r="H19" s="9"/>
      <c r="I19" s="22"/>
    </row>
    <row r="20" spans="1:9" s="6" customFormat="1" ht="12" customHeight="1">
      <c r="A20" s="29" t="s">
        <v>64</v>
      </c>
      <c r="B20" s="29"/>
      <c r="C20" s="29"/>
      <c r="D20" s="29"/>
      <c r="E20" s="29"/>
      <c r="F20" s="29"/>
      <c r="G20" s="29"/>
      <c r="H20" s="29"/>
    </row>
    <row r="21" spans="1:9" s="6" customFormat="1" ht="12" customHeight="1">
      <c r="A21" s="29" t="s">
        <v>42</v>
      </c>
      <c r="B21" s="29"/>
      <c r="C21" s="29"/>
      <c r="D21" s="29"/>
      <c r="E21" s="29"/>
      <c r="F21" s="29"/>
      <c r="G21" s="29"/>
      <c r="H21" s="29"/>
    </row>
    <row r="22" spans="1:9" s="6" customFormat="1" ht="12" customHeight="1">
      <c r="A22" s="29" t="s">
        <v>27</v>
      </c>
      <c r="B22" s="29"/>
      <c r="C22" s="29"/>
      <c r="D22" s="29"/>
      <c r="E22" s="29"/>
      <c r="F22" s="29"/>
      <c r="G22" s="29"/>
      <c r="H22" s="29"/>
    </row>
    <row r="23" spans="1:9" s="6" customFormat="1" ht="12" customHeight="1">
      <c r="A23" s="29" t="s">
        <v>28</v>
      </c>
      <c r="B23" s="29"/>
      <c r="C23" s="29"/>
      <c r="D23" s="29"/>
      <c r="E23" s="29"/>
      <c r="F23" s="29"/>
      <c r="G23" s="29"/>
      <c r="H23" s="29"/>
    </row>
    <row r="24" spans="1:9" s="6" customFormat="1" ht="12" customHeight="1">
      <c r="A24" s="29" t="s">
        <v>38</v>
      </c>
      <c r="B24" s="29"/>
      <c r="C24" s="29"/>
      <c r="D24" s="29"/>
      <c r="E24" s="29"/>
      <c r="F24" s="29"/>
      <c r="G24" s="29"/>
      <c r="H24" s="29"/>
    </row>
    <row r="25" spans="1:9" s="6" customFormat="1" ht="12" customHeight="1">
      <c r="A25" s="29" t="s">
        <v>41</v>
      </c>
      <c r="B25" s="29"/>
      <c r="C25" s="29"/>
      <c r="D25" s="29"/>
      <c r="E25" s="29"/>
      <c r="F25" s="29"/>
      <c r="G25" s="29"/>
      <c r="H25" s="29"/>
    </row>
    <row r="26" spans="1:9" s="6" customFormat="1" ht="12" customHeight="1">
      <c r="A26" s="29" t="s">
        <v>79</v>
      </c>
      <c r="B26" s="29"/>
      <c r="C26" s="29"/>
      <c r="D26" s="29"/>
      <c r="E26" s="29"/>
      <c r="F26" s="29"/>
      <c r="G26" s="29"/>
      <c r="H26" s="29"/>
    </row>
    <row r="27" spans="1:9" s="6" customFormat="1" ht="12" customHeight="1">
      <c r="A27" s="29" t="s">
        <v>19</v>
      </c>
      <c r="B27" s="29"/>
      <c r="C27" s="29"/>
      <c r="D27" s="29"/>
      <c r="E27" s="29"/>
      <c r="F27" s="29"/>
      <c r="G27" s="29"/>
      <c r="H27" s="29"/>
    </row>
  </sheetData>
  <mergeCells count="3">
    <mergeCell ref="A1:H1"/>
    <mergeCell ref="A2:H2"/>
    <mergeCell ref="A4:A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4"/>
  <sheetViews>
    <sheetView workbookViewId="0">
      <selection activeCell="A2" sqref="A2:K2"/>
    </sheetView>
  </sheetViews>
  <sheetFormatPr baseColWidth="10" defaultColWidth="11.42578125" defaultRowHeight="15"/>
  <cols>
    <col min="1" max="1" width="13.140625" style="1" customWidth="1"/>
    <col min="2" max="3" width="14.5703125" style="1" customWidth="1"/>
    <col min="4" max="4" width="17.140625" style="1" customWidth="1"/>
    <col min="5" max="11" width="14.5703125" style="1" customWidth="1"/>
    <col min="12" max="16384" width="11.42578125" style="1"/>
  </cols>
  <sheetData>
    <row r="1" spans="1:12">
      <c r="A1" s="118"/>
      <c r="B1" s="118"/>
      <c r="C1" s="118"/>
      <c r="D1" s="118"/>
      <c r="E1" s="118"/>
      <c r="F1" s="118"/>
      <c r="G1" s="118"/>
      <c r="H1" s="118"/>
      <c r="I1" s="118"/>
      <c r="J1" s="6"/>
      <c r="K1" s="6"/>
      <c r="L1" s="47"/>
    </row>
    <row r="2" spans="1:12">
      <c r="A2" s="119" t="s">
        <v>91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47"/>
    </row>
    <row r="3" spans="1:12">
      <c r="A3" s="2"/>
      <c r="B3" s="3"/>
      <c r="C3" s="3"/>
      <c r="D3" s="4"/>
      <c r="E3" s="4"/>
      <c r="F3" s="5"/>
      <c r="G3" s="5"/>
      <c r="H3" s="6"/>
      <c r="I3" s="6"/>
      <c r="J3" s="6"/>
      <c r="K3" s="6"/>
      <c r="L3" s="47"/>
    </row>
    <row r="4" spans="1:12" s="65" customFormat="1" ht="71.25" customHeight="1">
      <c r="A4" s="120" t="s">
        <v>0</v>
      </c>
      <c r="B4" s="13" t="s">
        <v>31</v>
      </c>
      <c r="C4" s="13" t="s">
        <v>32</v>
      </c>
      <c r="D4" s="13" t="s">
        <v>33</v>
      </c>
      <c r="E4" s="13" t="s">
        <v>1</v>
      </c>
      <c r="F4" s="13" t="s">
        <v>34</v>
      </c>
      <c r="G4" s="13" t="s">
        <v>47</v>
      </c>
      <c r="H4" s="13" t="s">
        <v>48</v>
      </c>
      <c r="I4" s="13" t="s">
        <v>49</v>
      </c>
      <c r="J4" s="15" t="s">
        <v>20</v>
      </c>
      <c r="K4" s="15" t="s">
        <v>21</v>
      </c>
      <c r="L4" s="64"/>
    </row>
    <row r="5" spans="1:12" s="65" customFormat="1">
      <c r="A5" s="121"/>
      <c r="B5" s="15" t="s">
        <v>37</v>
      </c>
      <c r="C5" s="15" t="s">
        <v>37</v>
      </c>
      <c r="D5" s="15" t="s">
        <v>37</v>
      </c>
      <c r="E5" s="15" t="s">
        <v>37</v>
      </c>
      <c r="F5" s="15" t="s">
        <v>2</v>
      </c>
      <c r="G5" s="15" t="s">
        <v>2</v>
      </c>
      <c r="H5" s="15"/>
      <c r="I5" s="15"/>
      <c r="J5" s="27"/>
      <c r="K5" s="15" t="s">
        <v>2</v>
      </c>
      <c r="L5" s="64"/>
    </row>
    <row r="6" spans="1:12" s="65" customFormat="1" ht="14.25" customHeight="1">
      <c r="A6" s="58" t="s">
        <v>68</v>
      </c>
      <c r="B6" s="46">
        <f>AVERAGE(B7:B18)</f>
        <v>1515150.6548565372</v>
      </c>
      <c r="C6" s="46">
        <f t="shared" ref="C6:K6" si="0">AVERAGE(C7:C18)</f>
        <v>780802.88500000024</v>
      </c>
      <c r="D6" s="46">
        <f>AVERAGE(D7:D18)</f>
        <v>170331.13833333334</v>
      </c>
      <c r="E6" s="46">
        <f t="shared" si="0"/>
        <v>45462.020000000011</v>
      </c>
      <c r="F6" s="46">
        <f t="shared" si="0"/>
        <v>26.698548544939118</v>
      </c>
      <c r="G6" s="46">
        <f t="shared" si="0"/>
        <v>5.8231090940144945</v>
      </c>
      <c r="H6" s="81">
        <f t="shared" si="0"/>
        <v>363308.08333333331</v>
      </c>
      <c r="I6" s="81">
        <f t="shared" si="0"/>
        <v>118756</v>
      </c>
      <c r="J6" s="81">
        <f t="shared" si="0"/>
        <v>568982.75</v>
      </c>
      <c r="K6" s="46">
        <f t="shared" si="0"/>
        <v>20.870563744964119</v>
      </c>
      <c r="L6" s="64"/>
    </row>
    <row r="7" spans="1:12">
      <c r="A7" s="73" t="s">
        <v>3</v>
      </c>
      <c r="B7" s="48">
        <v>1326417.5940646527</v>
      </c>
      <c r="C7" s="48">
        <f>(3197391*300*80%/1000)</f>
        <v>767373.84</v>
      </c>
      <c r="D7" s="50">
        <v>164108</v>
      </c>
      <c r="E7" s="48">
        <v>45083.519999999997</v>
      </c>
      <c r="F7" s="49">
        <f t="shared" ref="F7:F18" si="1">E7/D7*100</f>
        <v>27.471859994637676</v>
      </c>
      <c r="G7" s="49">
        <f t="shared" ref="G7:G18" si="2">+E7/C7*100</f>
        <v>5.8750399935447364</v>
      </c>
      <c r="H7" s="78">
        <v>361465</v>
      </c>
      <c r="I7" s="78">
        <v>113142</v>
      </c>
      <c r="J7" s="78">
        <v>565852</v>
      </c>
      <c r="K7" s="49">
        <f>+I7/J7*100</f>
        <v>19.994981019771956</v>
      </c>
      <c r="L7" s="47"/>
    </row>
    <row r="8" spans="1:12">
      <c r="A8" s="73" t="s">
        <v>4</v>
      </c>
      <c r="B8" s="48">
        <v>1439363.3128927248</v>
      </c>
      <c r="C8" s="48">
        <f>(3197391*300*80%/1000)</f>
        <v>767373.84</v>
      </c>
      <c r="D8" s="50">
        <v>163821</v>
      </c>
      <c r="E8" s="48">
        <v>45083.519999999997</v>
      </c>
      <c r="F8" s="49">
        <f t="shared" si="1"/>
        <v>27.519988279890857</v>
      </c>
      <c r="G8" s="49">
        <f t="shared" si="2"/>
        <v>5.8750399935447364</v>
      </c>
      <c r="H8" s="78">
        <v>361952</v>
      </c>
      <c r="I8" s="78">
        <v>113608</v>
      </c>
      <c r="J8" s="78">
        <v>566340</v>
      </c>
      <c r="K8" s="49">
        <f>+I8/J8*100</f>
        <v>20.060034608185894</v>
      </c>
      <c r="L8" s="47"/>
    </row>
    <row r="9" spans="1:12">
      <c r="A9" s="73" t="s">
        <v>5</v>
      </c>
      <c r="B9" s="48">
        <v>1487023.9987887049</v>
      </c>
      <c r="C9" s="48">
        <f t="shared" ref="C9:C11" si="3">(3197391*300*80%/1000)</f>
        <v>767373.84</v>
      </c>
      <c r="D9" s="50">
        <v>165824</v>
      </c>
      <c r="E9" s="48">
        <v>45083.519999999997</v>
      </c>
      <c r="F9" s="49">
        <f t="shared" si="1"/>
        <v>27.187572365881895</v>
      </c>
      <c r="G9" s="49">
        <f t="shared" si="2"/>
        <v>5.8750399935447364</v>
      </c>
      <c r="H9" s="78">
        <v>362651</v>
      </c>
      <c r="I9" s="78">
        <v>118059</v>
      </c>
      <c r="J9" s="78">
        <v>566891</v>
      </c>
      <c r="K9" s="49">
        <f t="shared" ref="K9:K18" si="4">+I9/J9*100</f>
        <v>20.825696650678879</v>
      </c>
      <c r="L9" s="47"/>
    </row>
    <row r="10" spans="1:12">
      <c r="A10" s="73" t="s">
        <v>6</v>
      </c>
      <c r="B10" s="48">
        <v>1472821.5610568551</v>
      </c>
      <c r="C10" s="48">
        <f t="shared" si="3"/>
        <v>767373.84</v>
      </c>
      <c r="D10" s="50">
        <v>168410.46</v>
      </c>
      <c r="E10" s="48">
        <v>45083.519999999997</v>
      </c>
      <c r="F10" s="49">
        <f t="shared" si="1"/>
        <v>26.770023667176019</v>
      </c>
      <c r="G10" s="49">
        <f t="shared" si="2"/>
        <v>5.8750399935447364</v>
      </c>
      <c r="H10" s="78">
        <v>353067</v>
      </c>
      <c r="I10" s="78">
        <v>118390</v>
      </c>
      <c r="J10" s="78">
        <v>567718</v>
      </c>
      <c r="K10" s="49">
        <f t="shared" si="4"/>
        <v>20.85366326239436</v>
      </c>
      <c r="L10" s="47"/>
    </row>
    <row r="11" spans="1:12">
      <c r="A11" s="73" t="s">
        <v>7</v>
      </c>
      <c r="B11" s="48">
        <v>1520387.6145052616</v>
      </c>
      <c r="C11" s="48">
        <f t="shared" si="3"/>
        <v>767373.84</v>
      </c>
      <c r="D11" s="50">
        <v>169366.98</v>
      </c>
      <c r="E11" s="48">
        <v>45084.52</v>
      </c>
      <c r="F11" s="49">
        <f t="shared" si="1"/>
        <v>26.619427234281435</v>
      </c>
      <c r="G11" s="49">
        <f t="shared" si="2"/>
        <v>5.8751703081251767</v>
      </c>
      <c r="H11" s="78">
        <v>363536</v>
      </c>
      <c r="I11" s="78">
        <v>119333</v>
      </c>
      <c r="J11" s="78">
        <v>569266</v>
      </c>
      <c r="K11" s="49">
        <f t="shared" si="4"/>
        <v>20.962607989937922</v>
      </c>
      <c r="L11" s="47"/>
    </row>
    <row r="12" spans="1:12">
      <c r="A12" s="73" t="s">
        <v>8</v>
      </c>
      <c r="B12" s="48">
        <v>1548440.4572639866</v>
      </c>
      <c r="C12" s="48">
        <v>790395.06</v>
      </c>
      <c r="D12" s="50">
        <v>170755.20000000001</v>
      </c>
      <c r="E12" s="48">
        <v>45084.52</v>
      </c>
      <c r="F12" s="49">
        <f t="shared" si="1"/>
        <v>26.403014373793592</v>
      </c>
      <c r="G12" s="49">
        <f t="shared" si="2"/>
        <v>5.7040488081997873</v>
      </c>
      <c r="H12" s="78">
        <v>364082</v>
      </c>
      <c r="I12" s="78">
        <v>119422</v>
      </c>
      <c r="J12" s="78">
        <v>569830</v>
      </c>
      <c r="K12" s="49">
        <f t="shared" si="4"/>
        <v>20.957478546233087</v>
      </c>
      <c r="L12" s="47"/>
    </row>
    <row r="13" spans="1:12">
      <c r="A13" s="73" t="s">
        <v>9</v>
      </c>
      <c r="B13" s="48">
        <v>1557729.5783178136</v>
      </c>
      <c r="C13" s="48">
        <v>790395.06</v>
      </c>
      <c r="D13" s="50">
        <v>171787.86</v>
      </c>
      <c r="E13" s="48">
        <v>45084.52</v>
      </c>
      <c r="F13" s="49">
        <f t="shared" si="1"/>
        <v>26.244299218815581</v>
      </c>
      <c r="G13" s="49">
        <f t="shared" si="2"/>
        <v>5.7040488081997873</v>
      </c>
      <c r="H13" s="78">
        <v>364350</v>
      </c>
      <c r="I13" s="78">
        <v>120046</v>
      </c>
      <c r="J13" s="78">
        <v>569118</v>
      </c>
      <c r="K13" s="49">
        <f t="shared" si="4"/>
        <v>21.0933409240263</v>
      </c>
      <c r="L13" s="47"/>
    </row>
    <row r="14" spans="1:12">
      <c r="A14" s="73" t="s">
        <v>10</v>
      </c>
      <c r="B14" s="48">
        <v>1526156.4085093497</v>
      </c>
      <c r="C14" s="48">
        <v>790395.06</v>
      </c>
      <c r="D14" s="50">
        <v>172821.26</v>
      </c>
      <c r="E14" s="48">
        <v>45084.52</v>
      </c>
      <c r="F14" s="49">
        <f t="shared" si="1"/>
        <v>26.087369111878939</v>
      </c>
      <c r="G14" s="49">
        <f t="shared" si="2"/>
        <v>5.7040488081997873</v>
      </c>
      <c r="H14" s="78">
        <v>364729</v>
      </c>
      <c r="I14" s="78">
        <v>120249</v>
      </c>
      <c r="J14" s="78">
        <v>570005</v>
      </c>
      <c r="K14" s="49">
        <f t="shared" si="4"/>
        <v>21.096130735695301</v>
      </c>
      <c r="L14" s="47"/>
    </row>
    <row r="15" spans="1:12">
      <c r="A15" s="73" t="s">
        <v>11</v>
      </c>
      <c r="B15" s="48">
        <v>1565485.6537209477</v>
      </c>
      <c r="C15" s="48">
        <v>790395.06</v>
      </c>
      <c r="D15" s="50">
        <v>173705.35</v>
      </c>
      <c r="E15" s="48">
        <v>45084.52</v>
      </c>
      <c r="F15" s="49">
        <f t="shared" si="1"/>
        <v>25.9545949505873</v>
      </c>
      <c r="G15" s="49">
        <f t="shared" si="2"/>
        <v>5.7040488081997873</v>
      </c>
      <c r="H15" s="78">
        <v>365364</v>
      </c>
      <c r="I15" s="78">
        <v>120447</v>
      </c>
      <c r="J15" s="78">
        <v>570337</v>
      </c>
      <c r="K15" s="49">
        <f t="shared" si="4"/>
        <v>21.118566742119132</v>
      </c>
      <c r="L15" s="47"/>
    </row>
    <row r="16" spans="1:12">
      <c r="A16" s="73" t="s">
        <v>12</v>
      </c>
      <c r="B16" s="48">
        <v>1574532.5157089864</v>
      </c>
      <c r="C16" s="48">
        <v>790395.06</v>
      </c>
      <c r="D16" s="50">
        <v>174105.99</v>
      </c>
      <c r="E16" s="48">
        <v>45084.52</v>
      </c>
      <c r="F16" s="49">
        <f t="shared" si="1"/>
        <v>25.894870130545193</v>
      </c>
      <c r="G16" s="49">
        <f t="shared" si="2"/>
        <v>5.7040488081997873</v>
      </c>
      <c r="H16" s="78">
        <v>365776</v>
      </c>
      <c r="I16" s="78">
        <v>120527</v>
      </c>
      <c r="J16" s="78">
        <v>570594</v>
      </c>
      <c r="K16" s="49">
        <f t="shared" si="4"/>
        <v>21.123075251404678</v>
      </c>
      <c r="L16" s="47"/>
    </row>
    <row r="17" spans="1:12">
      <c r="A17" s="73" t="s">
        <v>13</v>
      </c>
      <c r="B17" s="48">
        <v>1587818.9113483231</v>
      </c>
      <c r="C17" s="48">
        <v>790395.06</v>
      </c>
      <c r="D17" s="48">
        <v>174809.71</v>
      </c>
      <c r="E17" s="48">
        <v>47351.519999999997</v>
      </c>
      <c r="F17" s="49">
        <f t="shared" si="1"/>
        <v>27.087465564698892</v>
      </c>
      <c r="G17" s="49">
        <f t="shared" si="2"/>
        <v>5.9908674024354349</v>
      </c>
      <c r="H17" s="78">
        <v>366118</v>
      </c>
      <c r="I17" s="78">
        <v>120777</v>
      </c>
      <c r="J17" s="78">
        <v>570715</v>
      </c>
      <c r="K17" s="49">
        <f t="shared" si="4"/>
        <v>21.162401548934231</v>
      </c>
      <c r="L17" s="47"/>
    </row>
    <row r="18" spans="1:12">
      <c r="A18" s="74" t="s">
        <v>14</v>
      </c>
      <c r="B18" s="52">
        <v>1575630.2521008402</v>
      </c>
      <c r="C18" s="52">
        <v>790395.06</v>
      </c>
      <c r="D18" s="52">
        <v>174457.85</v>
      </c>
      <c r="E18" s="52">
        <v>47351.519999999997</v>
      </c>
      <c r="F18" s="55">
        <f t="shared" si="1"/>
        <v>27.142097647082085</v>
      </c>
      <c r="G18" s="55">
        <f t="shared" si="2"/>
        <v>5.9908674024354349</v>
      </c>
      <c r="H18" s="80">
        <v>366607</v>
      </c>
      <c r="I18" s="80">
        <v>121072</v>
      </c>
      <c r="J18" s="80">
        <v>571127</v>
      </c>
      <c r="K18" s="55">
        <f t="shared" si="4"/>
        <v>21.198787660187666</v>
      </c>
      <c r="L18" s="47"/>
    </row>
    <row r="19" spans="1:12" ht="11.25" customHeight="1">
      <c r="A19" s="29" t="s">
        <v>78</v>
      </c>
      <c r="B19" s="60"/>
      <c r="C19" s="60"/>
      <c r="D19" s="61"/>
      <c r="E19" s="61"/>
      <c r="F19" s="62"/>
      <c r="G19" s="62"/>
      <c r="H19" s="63"/>
      <c r="I19" s="63"/>
      <c r="J19" s="63"/>
      <c r="K19" s="63"/>
      <c r="L19" s="47"/>
    </row>
    <row r="20" spans="1:12" ht="11.25" customHeight="1">
      <c r="A20" s="29" t="s">
        <v>63</v>
      </c>
      <c r="B20" s="29"/>
      <c r="C20" s="29"/>
      <c r="D20" s="29"/>
      <c r="E20" s="29"/>
      <c r="F20" s="29"/>
      <c r="G20" s="29"/>
      <c r="H20" s="29"/>
      <c r="I20" s="29"/>
      <c r="J20" s="23"/>
      <c r="K20" s="23"/>
      <c r="L20" s="47"/>
    </row>
    <row r="21" spans="1:12" ht="11.25" customHeight="1">
      <c r="A21" s="29" t="s">
        <v>42</v>
      </c>
      <c r="B21" s="29"/>
      <c r="C21" s="29"/>
      <c r="D21" s="29"/>
      <c r="E21" s="29"/>
      <c r="F21" s="29"/>
      <c r="G21" s="29"/>
      <c r="H21" s="29"/>
      <c r="I21" s="29"/>
      <c r="J21" s="23"/>
      <c r="K21" s="23"/>
      <c r="L21" s="47"/>
    </row>
    <row r="22" spans="1:12" ht="11.25" customHeight="1">
      <c r="A22" s="29" t="s">
        <v>43</v>
      </c>
      <c r="B22" s="29"/>
      <c r="C22" s="29"/>
      <c r="D22" s="29"/>
      <c r="E22" s="29"/>
      <c r="F22" s="29"/>
      <c r="G22" s="29"/>
      <c r="H22" s="29"/>
      <c r="I22" s="29"/>
      <c r="J22" s="23"/>
      <c r="K22" s="23"/>
      <c r="L22" s="47"/>
    </row>
    <row r="23" spans="1:12" ht="11.25" customHeight="1">
      <c r="A23" s="89" t="s">
        <v>28</v>
      </c>
      <c r="B23" s="29"/>
      <c r="C23" s="29"/>
      <c r="D23" s="29"/>
      <c r="E23" s="29"/>
      <c r="F23" s="29"/>
      <c r="G23" s="29"/>
      <c r="H23" s="29"/>
      <c r="I23" s="29"/>
      <c r="J23" s="23"/>
      <c r="K23" s="23"/>
      <c r="L23" s="47"/>
    </row>
    <row r="24" spans="1:12" ht="11.25" customHeight="1">
      <c r="A24" s="29" t="s">
        <v>44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47"/>
    </row>
    <row r="25" spans="1:12" ht="11.25" customHeight="1">
      <c r="A25" s="29" t="s">
        <v>45</v>
      </c>
      <c r="B25" s="29"/>
      <c r="C25" s="29"/>
      <c r="D25" s="29"/>
      <c r="E25" s="29"/>
      <c r="F25" s="29"/>
      <c r="G25" s="29"/>
      <c r="H25" s="29"/>
      <c r="I25" s="29"/>
      <c r="J25" s="23"/>
      <c r="K25" s="23"/>
      <c r="L25" s="47"/>
    </row>
    <row r="26" spans="1:12" ht="11.25" customHeight="1">
      <c r="A26" s="29" t="s">
        <v>46</v>
      </c>
      <c r="B26" s="29"/>
      <c r="C26" s="29"/>
      <c r="D26" s="29"/>
      <c r="E26" s="29"/>
      <c r="F26" s="29"/>
      <c r="G26" s="29"/>
      <c r="H26" s="29"/>
      <c r="I26" s="29"/>
      <c r="J26" s="23"/>
      <c r="K26" s="23"/>
      <c r="L26" s="47"/>
    </row>
    <row r="27" spans="1:12" ht="11.25" customHeight="1">
      <c r="A27" s="29" t="s">
        <v>80</v>
      </c>
      <c r="B27" s="29"/>
      <c r="C27" s="29"/>
      <c r="D27" s="29"/>
      <c r="E27" s="29"/>
      <c r="F27" s="29"/>
      <c r="G27" s="29"/>
      <c r="H27" s="29"/>
      <c r="I27" s="29"/>
      <c r="J27" s="23"/>
      <c r="K27" s="23"/>
      <c r="L27" s="47"/>
    </row>
    <row r="28" spans="1:12" ht="11.25" customHeight="1">
      <c r="A28" s="29" t="s">
        <v>22</v>
      </c>
      <c r="B28" s="29"/>
      <c r="C28" s="29"/>
      <c r="D28" s="29"/>
      <c r="E28" s="29"/>
      <c r="F28" s="29"/>
      <c r="G28" s="29"/>
      <c r="H28" s="29"/>
      <c r="I28" s="29"/>
      <c r="J28" s="63"/>
      <c r="K28" s="63"/>
      <c r="L28" s="47"/>
    </row>
    <row r="29" spans="1:1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1:1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1:1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1:1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8" spans="1:1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1:1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1:1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1:1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1:1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pans="1:1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pans="1:1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1:1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pans="1:1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pans="1:1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</row>
    <row r="54" spans="1:1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</sheetData>
  <mergeCells count="3">
    <mergeCell ref="A1:I1"/>
    <mergeCell ref="A2:K2"/>
    <mergeCell ref="A4:A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8"/>
  <sheetViews>
    <sheetView workbookViewId="0">
      <selection activeCell="A2" sqref="A2:K2"/>
    </sheetView>
  </sheetViews>
  <sheetFormatPr baseColWidth="10" defaultColWidth="11.42578125" defaultRowHeight="12"/>
  <cols>
    <col min="1" max="1" width="11.42578125" style="12"/>
    <col min="2" max="3" width="15" style="12" customWidth="1"/>
    <col min="4" max="4" width="17.140625" style="12" customWidth="1"/>
    <col min="5" max="11" width="15" style="12" customWidth="1"/>
    <col min="12" max="16384" width="11.42578125" style="12"/>
  </cols>
  <sheetData>
    <row r="1" spans="1:12" s="6" customFormat="1" ht="14.25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s="6" customFormat="1">
      <c r="A2" s="119" t="s">
        <v>92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s="6" customFormat="1" ht="14.25" customHeight="1">
      <c r="A3" s="2"/>
      <c r="B3" s="3"/>
      <c r="C3" s="3"/>
      <c r="D3" s="4"/>
      <c r="E3" s="4"/>
      <c r="F3" s="5"/>
      <c r="G3" s="5"/>
    </row>
    <row r="4" spans="1:12" s="6" customFormat="1" ht="67.5" customHeight="1">
      <c r="A4" s="120" t="s">
        <v>0</v>
      </c>
      <c r="B4" s="13" t="s">
        <v>31</v>
      </c>
      <c r="C4" s="13" t="s">
        <v>32</v>
      </c>
      <c r="D4" s="13" t="s">
        <v>33</v>
      </c>
      <c r="E4" s="13" t="s">
        <v>1</v>
      </c>
      <c r="F4" s="13" t="s">
        <v>34</v>
      </c>
      <c r="G4" s="13" t="s">
        <v>47</v>
      </c>
      <c r="H4" s="13" t="s">
        <v>48</v>
      </c>
      <c r="I4" s="13" t="s">
        <v>49</v>
      </c>
      <c r="J4" s="15" t="s">
        <v>20</v>
      </c>
      <c r="K4" s="15" t="s">
        <v>21</v>
      </c>
      <c r="L4" s="26"/>
    </row>
    <row r="5" spans="1:12" s="6" customFormat="1" ht="14.25">
      <c r="A5" s="121"/>
      <c r="B5" s="15" t="s">
        <v>37</v>
      </c>
      <c r="C5" s="15" t="s">
        <v>37</v>
      </c>
      <c r="D5" s="15" t="s">
        <v>37</v>
      </c>
      <c r="E5" s="15" t="s">
        <v>37</v>
      </c>
      <c r="F5" s="15" t="s">
        <v>2</v>
      </c>
      <c r="G5" s="15" t="s">
        <v>2</v>
      </c>
      <c r="H5" s="15"/>
      <c r="I5" s="15"/>
      <c r="J5" s="27"/>
      <c r="K5" s="15" t="s">
        <v>2</v>
      </c>
    </row>
    <row r="6" spans="1:12" s="6" customFormat="1" ht="12" customHeight="1">
      <c r="A6" s="59" t="s">
        <v>23</v>
      </c>
      <c r="B6" s="46">
        <f>AVERAGE(B7:B18)</f>
        <v>1558397.6833976833</v>
      </c>
      <c r="C6" s="46">
        <f t="shared" ref="C6:K6" si="0">AVERAGE(C7:C18)</f>
        <v>882479.92</v>
      </c>
      <c r="D6" s="46">
        <f t="shared" si="0"/>
        <v>194476.06433333331</v>
      </c>
      <c r="E6" s="46">
        <f t="shared" si="0"/>
        <v>48098.300833333342</v>
      </c>
      <c r="F6" s="46">
        <f t="shared" si="0"/>
        <v>24.730796113145022</v>
      </c>
      <c r="G6" s="46">
        <f t="shared" si="0"/>
        <v>5.45035640395459</v>
      </c>
      <c r="H6" s="81">
        <f t="shared" si="0"/>
        <v>370436.33333333331</v>
      </c>
      <c r="I6" s="81">
        <f t="shared" si="0"/>
        <v>123964.66666666667</v>
      </c>
      <c r="J6" s="81">
        <f t="shared" si="0"/>
        <v>572997.16666666663</v>
      </c>
      <c r="K6" s="46">
        <f t="shared" si="0"/>
        <v>21.625859425128905</v>
      </c>
    </row>
    <row r="7" spans="1:12" s="6" customFormat="1" ht="13.5" customHeight="1">
      <c r="A7" s="73" t="s">
        <v>3</v>
      </c>
      <c r="B7" s="45">
        <v>1591036.4145658263</v>
      </c>
      <c r="C7" s="48">
        <v>882479.92</v>
      </c>
      <c r="D7" s="50">
        <v>188987.04</v>
      </c>
      <c r="E7" s="48">
        <v>47351.519999999997</v>
      </c>
      <c r="F7" s="49">
        <f t="shared" ref="F7:F18" si="1">+E7/D7*100</f>
        <v>25.055432372505543</v>
      </c>
      <c r="G7" s="49">
        <f t="shared" ref="G7:G18" si="2">+E7/C7*100</f>
        <v>5.3657334208805567</v>
      </c>
      <c r="H7" s="78">
        <v>365818</v>
      </c>
      <c r="I7" s="78">
        <v>121196</v>
      </c>
      <c r="J7" s="78">
        <v>570715</v>
      </c>
      <c r="K7" s="49">
        <f t="shared" ref="K7:K17" si="3">+I7/J7*100</f>
        <v>21.235818228012228</v>
      </c>
    </row>
    <row r="8" spans="1:12" s="6" customFormat="1" ht="13.5" customHeight="1">
      <c r="A8" s="73" t="s">
        <v>4</v>
      </c>
      <c r="B8" s="45">
        <v>1565296.3888258005</v>
      </c>
      <c r="C8" s="48">
        <v>882479.92</v>
      </c>
      <c r="D8" s="50">
        <v>189733.92</v>
      </c>
      <c r="E8" s="48">
        <v>47351.519999999997</v>
      </c>
      <c r="F8" s="49">
        <f t="shared" si="1"/>
        <v>24.956802663435191</v>
      </c>
      <c r="G8" s="49">
        <f t="shared" si="2"/>
        <v>5.3657334208805567</v>
      </c>
      <c r="H8" s="78">
        <v>367302</v>
      </c>
      <c r="I8" s="78">
        <v>121581</v>
      </c>
      <c r="J8" s="78">
        <v>572074</v>
      </c>
      <c r="K8" s="49">
        <f t="shared" si="3"/>
        <v>21.252670109111758</v>
      </c>
    </row>
    <row r="9" spans="1:12" s="6" customFormat="1" ht="13.5" customHeight="1">
      <c r="A9" s="73" t="s">
        <v>5</v>
      </c>
      <c r="B9" s="45">
        <v>1578885.6082973729</v>
      </c>
      <c r="C9" s="48">
        <v>882479.92</v>
      </c>
      <c r="D9" s="50">
        <v>190183.75199999998</v>
      </c>
      <c r="E9" s="48">
        <v>47351.519999999997</v>
      </c>
      <c r="F9" s="49">
        <f t="shared" si="1"/>
        <v>24.897773601606094</v>
      </c>
      <c r="G9" s="49">
        <f t="shared" si="2"/>
        <v>5.3657334208805567</v>
      </c>
      <c r="H9" s="78">
        <v>367766</v>
      </c>
      <c r="I9" s="78">
        <v>121736</v>
      </c>
      <c r="J9" s="78">
        <v>572395</v>
      </c>
      <c r="K9" s="49">
        <f t="shared" si="3"/>
        <v>21.267830781191311</v>
      </c>
    </row>
    <row r="10" spans="1:12" s="6" customFormat="1" ht="13.5" customHeight="1">
      <c r="A10" s="73" t="s">
        <v>6</v>
      </c>
      <c r="B10" s="45">
        <v>1552994.1706412295</v>
      </c>
      <c r="C10" s="48">
        <v>882479.92</v>
      </c>
      <c r="D10" s="50">
        <v>190890.21599999999</v>
      </c>
      <c r="E10" s="48">
        <v>47351.519999999997</v>
      </c>
      <c r="F10" s="49">
        <f t="shared" si="1"/>
        <v>24.805629640023039</v>
      </c>
      <c r="G10" s="49">
        <f t="shared" si="2"/>
        <v>5.3657334208805567</v>
      </c>
      <c r="H10" s="78">
        <v>368421</v>
      </c>
      <c r="I10" s="78">
        <v>122092</v>
      </c>
      <c r="J10" s="78">
        <v>572559</v>
      </c>
      <c r="K10" s="49">
        <f t="shared" si="3"/>
        <v>21.32391596324571</v>
      </c>
    </row>
    <row r="11" spans="1:12" s="6" customFormat="1" ht="13.5" customHeight="1">
      <c r="A11" s="73" t="s">
        <v>7</v>
      </c>
      <c r="B11" s="48">
        <v>1464304.6407752289</v>
      </c>
      <c r="C11" s="48">
        <v>882479.92</v>
      </c>
      <c r="D11" s="50">
        <v>192696.77</v>
      </c>
      <c r="E11" s="48">
        <v>47351.519999999997</v>
      </c>
      <c r="F11" s="49">
        <f t="shared" si="1"/>
        <v>24.573074058273008</v>
      </c>
      <c r="G11" s="49">
        <f t="shared" si="2"/>
        <v>5.3657334208805567</v>
      </c>
      <c r="H11" s="78">
        <v>369939</v>
      </c>
      <c r="I11" s="78">
        <v>123157</v>
      </c>
      <c r="J11" s="78">
        <v>572804</v>
      </c>
      <c r="K11" s="49">
        <f t="shared" si="3"/>
        <v>21.50072276031592</v>
      </c>
    </row>
    <row r="12" spans="1:12" s="6" customFormat="1" ht="13.5" customHeight="1">
      <c r="A12" s="73" t="s">
        <v>8</v>
      </c>
      <c r="B12" s="48">
        <v>1576614.4295556056</v>
      </c>
      <c r="C12" s="48">
        <v>882479.92</v>
      </c>
      <c r="D12" s="50">
        <v>193999.61</v>
      </c>
      <c r="E12" s="48">
        <v>47351.519999999997</v>
      </c>
      <c r="F12" s="49">
        <f t="shared" si="1"/>
        <v>24.408049067727507</v>
      </c>
      <c r="G12" s="49">
        <f t="shared" si="2"/>
        <v>5.3657334208805567</v>
      </c>
      <c r="H12" s="79">
        <v>370536</v>
      </c>
      <c r="I12" s="79">
        <v>123908</v>
      </c>
      <c r="J12" s="78">
        <v>573342</v>
      </c>
      <c r="K12" s="49">
        <f t="shared" si="3"/>
        <v>21.611533779140547</v>
      </c>
    </row>
    <row r="13" spans="1:12" s="6" customFormat="1" ht="13.5" customHeight="1">
      <c r="A13" s="73" t="s">
        <v>9</v>
      </c>
      <c r="B13" s="48">
        <v>1571239.3065334242</v>
      </c>
      <c r="C13" s="48">
        <v>882479.92</v>
      </c>
      <c r="D13" s="50">
        <v>195080.69</v>
      </c>
      <c r="E13" s="48">
        <v>47351.519999999997</v>
      </c>
      <c r="F13" s="49">
        <f t="shared" si="1"/>
        <v>24.27278681452275</v>
      </c>
      <c r="G13" s="49">
        <f t="shared" si="2"/>
        <v>5.3657334208805567</v>
      </c>
      <c r="H13" s="78">
        <v>371335</v>
      </c>
      <c r="I13" s="78">
        <v>124521</v>
      </c>
      <c r="J13" s="78">
        <v>573466</v>
      </c>
      <c r="K13" s="49">
        <f t="shared" si="3"/>
        <v>21.713754607945372</v>
      </c>
    </row>
    <row r="14" spans="1:12" s="6" customFormat="1" ht="13.5" customHeight="1">
      <c r="A14" s="73" t="s">
        <v>10</v>
      </c>
      <c r="B14" s="48">
        <v>1576311.6057233703</v>
      </c>
      <c r="C14" s="48">
        <v>882479.92</v>
      </c>
      <c r="D14" s="50">
        <v>196132.46</v>
      </c>
      <c r="E14" s="48">
        <v>47351.519999999997</v>
      </c>
      <c r="F14" s="49">
        <f t="shared" si="1"/>
        <v>24.142622796858817</v>
      </c>
      <c r="G14" s="49">
        <f t="shared" si="2"/>
        <v>5.3657334208805567</v>
      </c>
      <c r="H14" s="79">
        <v>371533</v>
      </c>
      <c r="I14" s="79">
        <v>124546</v>
      </c>
      <c r="J14" s="78">
        <v>573466</v>
      </c>
      <c r="K14" s="49">
        <f t="shared" si="3"/>
        <v>21.718114064303727</v>
      </c>
    </row>
    <row r="15" spans="1:12" s="6" customFormat="1" ht="13.5" customHeight="1">
      <c r="A15" s="73" t="s">
        <v>11</v>
      </c>
      <c r="B15" s="48">
        <v>1562911.6511469453</v>
      </c>
      <c r="C15" s="48">
        <v>882479.92</v>
      </c>
      <c r="D15" s="50">
        <v>196764.48</v>
      </c>
      <c r="E15" s="48">
        <v>47351.519999999997</v>
      </c>
      <c r="F15" s="49">
        <f t="shared" si="1"/>
        <v>24.065075159906907</v>
      </c>
      <c r="G15" s="49">
        <f t="shared" si="2"/>
        <v>5.3657334208805567</v>
      </c>
      <c r="H15" s="78">
        <v>372343</v>
      </c>
      <c r="I15" s="78">
        <v>125396</v>
      </c>
      <c r="J15" s="78">
        <v>571449</v>
      </c>
      <c r="K15" s="49">
        <f t="shared" si="3"/>
        <v>21.943515519320183</v>
      </c>
    </row>
    <row r="16" spans="1:12" s="6" customFormat="1" ht="13.5" customHeight="1">
      <c r="A16" s="73" t="s">
        <v>12</v>
      </c>
      <c r="B16" s="48">
        <v>1560148.3836777955</v>
      </c>
      <c r="C16" s="48">
        <v>882479.92</v>
      </c>
      <c r="D16" s="50">
        <v>198680.33</v>
      </c>
      <c r="E16" s="48">
        <v>47351.519999999997</v>
      </c>
      <c r="F16" s="49">
        <f t="shared" si="1"/>
        <v>23.833018598267881</v>
      </c>
      <c r="G16" s="49">
        <f t="shared" si="2"/>
        <v>5.3657334208805567</v>
      </c>
      <c r="H16" s="78">
        <v>372812</v>
      </c>
      <c r="I16" s="79">
        <v>125952</v>
      </c>
      <c r="J16" s="78">
        <v>571442</v>
      </c>
      <c r="K16" s="49">
        <f t="shared" si="3"/>
        <v>22.041082034572188</v>
      </c>
    </row>
    <row r="17" spans="1:11" s="6" customFormat="1" ht="13.5" customHeight="1">
      <c r="A17" s="73" t="s">
        <v>13</v>
      </c>
      <c r="B17" s="48">
        <v>1547619.0476190476</v>
      </c>
      <c r="C17" s="48">
        <v>882479.92</v>
      </c>
      <c r="D17" s="48">
        <v>200281.75200000001</v>
      </c>
      <c r="E17" s="48">
        <v>47351.519999999997</v>
      </c>
      <c r="F17" s="49">
        <f t="shared" si="1"/>
        <v>23.642453457267536</v>
      </c>
      <c r="G17" s="49">
        <f t="shared" si="2"/>
        <v>5.3657334208805567</v>
      </c>
      <c r="H17" s="78">
        <v>373676</v>
      </c>
      <c r="I17" s="78">
        <v>126464</v>
      </c>
      <c r="J17" s="78">
        <v>576128</v>
      </c>
      <c r="K17" s="49">
        <f t="shared" si="3"/>
        <v>21.950677627193958</v>
      </c>
    </row>
    <row r="18" spans="1:11" s="6" customFormat="1" ht="13.5" customHeight="1">
      <c r="A18" s="74" t="s">
        <v>14</v>
      </c>
      <c r="B18" s="52">
        <v>1553410.5534105534</v>
      </c>
      <c r="C18" s="52">
        <v>882479.92</v>
      </c>
      <c r="D18" s="52">
        <v>200281.75200000001</v>
      </c>
      <c r="E18" s="52">
        <v>56312.89</v>
      </c>
      <c r="F18" s="55">
        <f t="shared" si="1"/>
        <v>28.116835127345997</v>
      </c>
      <c r="G18" s="55">
        <f t="shared" si="2"/>
        <v>6.3812092177689435</v>
      </c>
      <c r="H18" s="80">
        <v>373755</v>
      </c>
      <c r="I18" s="80">
        <v>127027</v>
      </c>
      <c r="J18" s="80">
        <v>576126</v>
      </c>
      <c r="K18" s="55">
        <v>21.950677627193958</v>
      </c>
    </row>
    <row r="19" spans="1:11" s="6" customFormat="1" ht="11.25" customHeight="1">
      <c r="A19" s="23" t="s">
        <v>78</v>
      </c>
      <c r="B19" s="90"/>
      <c r="C19" s="10"/>
      <c r="D19" s="10"/>
      <c r="E19" s="10"/>
      <c r="F19" s="24"/>
      <c r="G19" s="24"/>
      <c r="H19" s="9"/>
      <c r="I19" s="9"/>
      <c r="J19" s="25"/>
      <c r="K19" s="24"/>
    </row>
    <row r="20" spans="1:11" s="6" customFormat="1" ht="10.5" customHeight="1">
      <c r="A20" s="128" t="s">
        <v>62</v>
      </c>
      <c r="B20" s="128"/>
      <c r="C20" s="128"/>
      <c r="D20" s="128"/>
      <c r="E20" s="128"/>
      <c r="F20" s="128"/>
      <c r="G20" s="128"/>
      <c r="H20" s="128"/>
      <c r="I20" s="128"/>
    </row>
    <row r="21" spans="1:11" s="6" customFormat="1" ht="10.5" customHeight="1">
      <c r="A21" s="29" t="s">
        <v>42</v>
      </c>
      <c r="B21" s="29"/>
      <c r="C21" s="29"/>
      <c r="D21" s="29"/>
      <c r="E21" s="29"/>
      <c r="F21" s="29"/>
      <c r="G21" s="29"/>
      <c r="H21" s="29"/>
      <c r="I21" s="29"/>
    </row>
    <row r="22" spans="1:11" s="6" customFormat="1" ht="10.5" customHeight="1">
      <c r="A22" s="29" t="s">
        <v>43</v>
      </c>
      <c r="B22" s="29"/>
      <c r="C22" s="29"/>
      <c r="D22" s="29"/>
      <c r="E22" s="29"/>
      <c r="F22" s="29"/>
      <c r="G22" s="29"/>
      <c r="H22" s="29"/>
      <c r="I22" s="29"/>
    </row>
    <row r="23" spans="1:11" s="6" customFormat="1" ht="10.5" customHeight="1">
      <c r="A23" s="29" t="s">
        <v>28</v>
      </c>
      <c r="B23" s="29"/>
      <c r="C23" s="29"/>
      <c r="D23" s="29"/>
      <c r="E23" s="29"/>
      <c r="F23" s="29"/>
      <c r="G23" s="29"/>
      <c r="H23" s="29"/>
      <c r="I23" s="29"/>
    </row>
    <row r="24" spans="1:11" s="6" customFormat="1" ht="10.5" customHeight="1">
      <c r="A24" s="29" t="s">
        <v>44</v>
      </c>
      <c r="B24" s="29"/>
      <c r="C24" s="29"/>
      <c r="D24" s="29"/>
      <c r="E24" s="29"/>
      <c r="F24" s="29"/>
      <c r="G24" s="29"/>
      <c r="H24" s="29"/>
      <c r="I24" s="29"/>
    </row>
    <row r="25" spans="1:11" s="6" customFormat="1" ht="10.5" customHeight="1">
      <c r="A25" s="29" t="s">
        <v>45</v>
      </c>
      <c r="B25" s="29"/>
      <c r="C25" s="29"/>
      <c r="D25" s="29"/>
      <c r="E25" s="29"/>
      <c r="F25" s="29"/>
      <c r="G25" s="29"/>
      <c r="H25" s="29"/>
      <c r="I25" s="29"/>
    </row>
    <row r="26" spans="1:11" s="6" customFormat="1" ht="10.5" customHeight="1">
      <c r="A26" s="29" t="s">
        <v>46</v>
      </c>
      <c r="B26" s="29"/>
      <c r="C26" s="29"/>
      <c r="D26" s="29"/>
      <c r="E26" s="29"/>
      <c r="F26" s="29"/>
      <c r="G26" s="29"/>
      <c r="H26" s="29"/>
      <c r="I26" s="29"/>
    </row>
    <row r="27" spans="1:11" s="6" customFormat="1" ht="10.5" customHeight="1">
      <c r="A27" s="29" t="s">
        <v>79</v>
      </c>
      <c r="B27" s="29"/>
      <c r="C27" s="29"/>
      <c r="D27" s="29"/>
      <c r="E27" s="29"/>
      <c r="F27" s="29"/>
      <c r="G27" s="29"/>
      <c r="H27" s="29"/>
      <c r="I27" s="29"/>
    </row>
    <row r="28" spans="1:11" s="6" customFormat="1" ht="14.25" customHeight="1">
      <c r="A28" s="29" t="s">
        <v>18</v>
      </c>
      <c r="B28" s="29"/>
      <c r="C28" s="29"/>
      <c r="D28" s="29"/>
      <c r="E28" s="29"/>
      <c r="F28" s="29"/>
      <c r="G28" s="29"/>
      <c r="H28" s="29"/>
      <c r="I28" s="29"/>
    </row>
  </sheetData>
  <mergeCells count="4">
    <mergeCell ref="A1:K1"/>
    <mergeCell ref="A2:K2"/>
    <mergeCell ref="A4:A5"/>
    <mergeCell ref="A20:I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8"/>
  <sheetViews>
    <sheetView workbookViewId="0">
      <selection activeCell="A2" sqref="A2:K2"/>
    </sheetView>
  </sheetViews>
  <sheetFormatPr baseColWidth="10" defaultColWidth="11.42578125" defaultRowHeight="12"/>
  <cols>
    <col min="1" max="1" width="14.5703125" style="12" customWidth="1"/>
    <col min="2" max="11" width="15.5703125" style="12" customWidth="1"/>
    <col min="12" max="16384" width="11.42578125" style="12"/>
  </cols>
  <sheetData>
    <row r="1" spans="1:1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19" t="s">
        <v>93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>
      <c r="A3" s="2"/>
      <c r="B3" s="3"/>
      <c r="C3" s="3"/>
      <c r="D3" s="4"/>
      <c r="E3" s="4"/>
      <c r="F3" s="5"/>
      <c r="G3" s="5"/>
      <c r="H3" s="6"/>
      <c r="I3" s="6"/>
      <c r="J3" s="6"/>
      <c r="K3" s="6"/>
    </row>
    <row r="4" spans="1:11" ht="72" customHeight="1">
      <c r="A4" s="120" t="s">
        <v>0</v>
      </c>
      <c r="B4" s="13" t="s">
        <v>31</v>
      </c>
      <c r="C4" s="13" t="s">
        <v>32</v>
      </c>
      <c r="D4" s="13" t="s">
        <v>33</v>
      </c>
      <c r="E4" s="13" t="s">
        <v>1</v>
      </c>
      <c r="F4" s="13" t="s">
        <v>34</v>
      </c>
      <c r="G4" s="13" t="s">
        <v>47</v>
      </c>
      <c r="H4" s="13" t="s">
        <v>48</v>
      </c>
      <c r="I4" s="13" t="s">
        <v>49</v>
      </c>
      <c r="J4" s="15" t="s">
        <v>20</v>
      </c>
      <c r="K4" s="15" t="s">
        <v>21</v>
      </c>
    </row>
    <row r="5" spans="1:11" ht="14.25">
      <c r="A5" s="121"/>
      <c r="B5" s="15" t="s">
        <v>37</v>
      </c>
      <c r="C5" s="15" t="s">
        <v>37</v>
      </c>
      <c r="D5" s="15" t="s">
        <v>37</v>
      </c>
      <c r="E5" s="15" t="s">
        <v>37</v>
      </c>
      <c r="F5" s="15" t="s">
        <v>2</v>
      </c>
      <c r="G5" s="15" t="s">
        <v>2</v>
      </c>
      <c r="H5" s="15"/>
      <c r="I5" s="15"/>
      <c r="J5" s="27"/>
      <c r="K5" s="15" t="s">
        <v>2</v>
      </c>
    </row>
    <row r="6" spans="1:11" ht="16.5" customHeight="1">
      <c r="A6" s="59" t="s">
        <v>68</v>
      </c>
      <c r="B6" s="46">
        <f>AVERAGE(B7:B18)</f>
        <v>1566977.0926388574</v>
      </c>
      <c r="C6" s="46">
        <f>AVERAGE(C7:C18)</f>
        <v>879979.18833333335</v>
      </c>
      <c r="D6" s="46">
        <f>AVERAGE(D7:D18)</f>
        <v>216021.35750000001</v>
      </c>
      <c r="E6" s="46">
        <f t="shared" ref="E6:K6" si="0">AVERAGE(E7:E18)</f>
        <v>56312.890000000007</v>
      </c>
      <c r="F6" s="46">
        <f t="shared" si="0"/>
        <v>26.097885487484287</v>
      </c>
      <c r="G6" s="46">
        <f>AVERAGE(G7:G18)</f>
        <v>6.3446666666666678</v>
      </c>
      <c r="H6" s="81">
        <f t="shared" si="0"/>
        <v>378007.41666666669</v>
      </c>
      <c r="I6" s="81">
        <f t="shared" si="0"/>
        <v>134756.75</v>
      </c>
      <c r="J6" s="81">
        <f t="shared" si="0"/>
        <v>593738.33333333337</v>
      </c>
      <c r="K6" s="46">
        <f t="shared" si="0"/>
        <v>22.697316832220508</v>
      </c>
    </row>
    <row r="7" spans="1:11">
      <c r="A7" s="73" t="s">
        <v>3</v>
      </c>
      <c r="B7" s="45">
        <v>1537815.1260504201</v>
      </c>
      <c r="C7" s="48">
        <v>884685.22</v>
      </c>
      <c r="D7" s="50">
        <v>205474.1</v>
      </c>
      <c r="E7" s="48">
        <v>56312.89</v>
      </c>
      <c r="F7" s="49">
        <f>E7/D7*100</f>
        <v>27.406320309956339</v>
      </c>
      <c r="G7" s="49">
        <v>6.37</v>
      </c>
      <c r="H7" s="78">
        <v>374500</v>
      </c>
      <c r="I7" s="78">
        <v>127877</v>
      </c>
      <c r="J7" s="78">
        <v>577801</v>
      </c>
      <c r="K7" s="49">
        <f>I7/J7*100</f>
        <v>22.131668169490879</v>
      </c>
    </row>
    <row r="8" spans="1:11">
      <c r="A8" s="73" t="s">
        <v>4</v>
      </c>
      <c r="B8" s="45">
        <v>1524683.9276251039</v>
      </c>
      <c r="C8" s="48">
        <v>886987.26</v>
      </c>
      <c r="D8" s="50">
        <v>205474.1</v>
      </c>
      <c r="E8" s="48">
        <v>56312.89</v>
      </c>
      <c r="F8" s="49">
        <f t="shared" ref="F8:F18" si="1">E8/D8*100</f>
        <v>27.406320309956339</v>
      </c>
      <c r="G8" s="49">
        <v>6.35</v>
      </c>
      <c r="H8" s="78">
        <v>375737</v>
      </c>
      <c r="I8" s="78">
        <v>128760</v>
      </c>
      <c r="J8" s="78">
        <v>578370</v>
      </c>
      <c r="K8" s="49">
        <f t="shared" ref="K8:K18" si="2">I8/J8*100</f>
        <v>22.262565485761709</v>
      </c>
    </row>
    <row r="9" spans="1:11">
      <c r="A9" s="73" t="s">
        <v>5</v>
      </c>
      <c r="B9" s="45">
        <v>1557498.6751457341</v>
      </c>
      <c r="C9" s="48">
        <v>881219.16</v>
      </c>
      <c r="D9" s="50">
        <v>207498.36</v>
      </c>
      <c r="E9" s="45">
        <v>56312.89</v>
      </c>
      <c r="F9" s="49">
        <f t="shared" si="1"/>
        <v>27.138956664524965</v>
      </c>
      <c r="G9" s="49">
        <v>6</v>
      </c>
      <c r="H9" s="78">
        <v>376124</v>
      </c>
      <c r="I9" s="78">
        <v>129860</v>
      </c>
      <c r="J9" s="78">
        <v>578614</v>
      </c>
      <c r="K9" s="49">
        <f t="shared" si="2"/>
        <v>22.44328688901409</v>
      </c>
    </row>
    <row r="10" spans="1:11">
      <c r="A10" s="73" t="s">
        <v>6</v>
      </c>
      <c r="B10" s="45">
        <v>1554319.0249072602</v>
      </c>
      <c r="C10" s="48">
        <v>871089.68</v>
      </c>
      <c r="D10" s="50">
        <v>210909.6</v>
      </c>
      <c r="E10" s="48">
        <v>56312.89</v>
      </c>
      <c r="F10" s="49">
        <f t="shared" si="1"/>
        <v>26.700012706865877</v>
      </c>
      <c r="G10" s="49">
        <v>6.19</v>
      </c>
      <c r="H10" s="78">
        <v>376579</v>
      </c>
      <c r="I10" s="78">
        <v>131923</v>
      </c>
      <c r="J10" s="78">
        <v>577524</v>
      </c>
      <c r="K10" s="49">
        <f t="shared" si="2"/>
        <v>22.842860210138451</v>
      </c>
    </row>
    <row r="11" spans="1:11">
      <c r="A11" s="73" t="s">
        <v>7</v>
      </c>
      <c r="B11" s="48">
        <v>1540616.2464985994</v>
      </c>
      <c r="C11" s="48">
        <v>872215</v>
      </c>
      <c r="D11" s="50">
        <v>214460.14</v>
      </c>
      <c r="E11" s="48">
        <v>56312.89</v>
      </c>
      <c r="F11" s="49">
        <f t="shared" si="1"/>
        <v>26.257975025102564</v>
      </c>
      <c r="G11" s="49">
        <v>6.46</v>
      </c>
      <c r="H11" s="78">
        <v>377006</v>
      </c>
      <c r="I11" s="78">
        <v>134236</v>
      </c>
      <c r="J11" s="78">
        <v>577870</v>
      </c>
      <c r="K11" s="49">
        <f t="shared" si="2"/>
        <v>23.229446069185112</v>
      </c>
    </row>
    <row r="12" spans="1:11">
      <c r="A12" s="73" t="s">
        <v>8</v>
      </c>
      <c r="B12" s="48">
        <v>1565296.3888258005</v>
      </c>
      <c r="C12" s="48">
        <v>899880.3</v>
      </c>
      <c r="D12" s="50">
        <v>215971.27</v>
      </c>
      <c r="E12" s="48">
        <v>56312.89</v>
      </c>
      <c r="F12" s="49">
        <f t="shared" si="1"/>
        <v>26.074250524155367</v>
      </c>
      <c r="G12" s="49">
        <v>6.26</v>
      </c>
      <c r="H12" s="79">
        <v>377730</v>
      </c>
      <c r="I12" s="79">
        <v>135435</v>
      </c>
      <c r="J12" s="78">
        <v>588222</v>
      </c>
      <c r="K12" s="49">
        <f t="shared" si="2"/>
        <v>23.024470353029976</v>
      </c>
    </row>
    <row r="13" spans="1:11">
      <c r="A13" s="73" t="s">
        <v>9</v>
      </c>
      <c r="B13" s="48">
        <v>1570595.8058899236</v>
      </c>
      <c r="C13" s="48">
        <v>874465.64</v>
      </c>
      <c r="D13" s="50">
        <v>217945.73</v>
      </c>
      <c r="E13" s="48">
        <v>56312.89</v>
      </c>
      <c r="F13" s="49">
        <f t="shared" si="1"/>
        <v>25.838033165412323</v>
      </c>
      <c r="G13" s="49">
        <v>6.44</v>
      </c>
      <c r="H13" s="78">
        <v>378181</v>
      </c>
      <c r="I13" s="78">
        <v>136278</v>
      </c>
      <c r="J13" s="78">
        <v>592351</v>
      </c>
      <c r="K13" s="49">
        <f t="shared" si="2"/>
        <v>23.006291877619859</v>
      </c>
    </row>
    <row r="14" spans="1:11">
      <c r="A14" s="73" t="s">
        <v>10</v>
      </c>
      <c r="B14" s="48">
        <v>1564781.588311</v>
      </c>
      <c r="C14" s="48">
        <v>875590.96</v>
      </c>
      <c r="D14" s="50">
        <v>218218.97</v>
      </c>
      <c r="E14" s="48">
        <v>56312.89</v>
      </c>
      <c r="F14" s="49">
        <f t="shared" si="1"/>
        <v>25.805680413577242</v>
      </c>
      <c r="G14" s="49">
        <v>6.43</v>
      </c>
      <c r="H14" s="79">
        <v>379073</v>
      </c>
      <c r="I14" s="79">
        <v>136159</v>
      </c>
      <c r="J14" s="78">
        <v>605047</v>
      </c>
      <c r="K14" s="49">
        <f t="shared" si="2"/>
        <v>22.503871600057515</v>
      </c>
    </row>
    <row r="15" spans="1:11">
      <c r="A15" s="73" t="s">
        <v>11</v>
      </c>
      <c r="B15" s="48">
        <v>1571731.3952608069</v>
      </c>
      <c r="C15" s="48">
        <v>876716.28</v>
      </c>
      <c r="D15" s="50">
        <v>218547.65</v>
      </c>
      <c r="E15" s="48">
        <v>56312.89</v>
      </c>
      <c r="F15" s="49">
        <f t="shared" si="1"/>
        <v>25.766870519998729</v>
      </c>
      <c r="G15" s="49">
        <v>6.42</v>
      </c>
      <c r="H15" s="78">
        <v>379423</v>
      </c>
      <c r="I15" s="78">
        <v>137409</v>
      </c>
      <c r="J15" s="78">
        <v>625254</v>
      </c>
      <c r="K15" s="49">
        <f t="shared" si="2"/>
        <v>21.976508746845283</v>
      </c>
    </row>
    <row r="16" spans="1:11">
      <c r="A16" s="73" t="s">
        <v>12</v>
      </c>
      <c r="B16" s="48">
        <v>1601029.6010296009</v>
      </c>
      <c r="C16" s="48">
        <v>877841.6</v>
      </c>
      <c r="D16" s="50">
        <v>224438.54</v>
      </c>
      <c r="E16" s="48">
        <v>56312.89</v>
      </c>
      <c r="F16" s="49">
        <f t="shared" si="1"/>
        <v>25.090561540812018</v>
      </c>
      <c r="G16" s="49">
        <v>6.41</v>
      </c>
      <c r="H16" s="78">
        <v>380171</v>
      </c>
      <c r="I16" s="79">
        <v>139086</v>
      </c>
      <c r="J16" s="78">
        <v>610660</v>
      </c>
      <c r="K16" s="49">
        <f t="shared" si="2"/>
        <v>22.776340353060622</v>
      </c>
    </row>
    <row r="17" spans="1:11">
      <c r="A17" s="73" t="s">
        <v>13</v>
      </c>
      <c r="B17" s="48">
        <v>1613645.9989401167</v>
      </c>
      <c r="C17" s="48">
        <v>878966.92</v>
      </c>
      <c r="D17" s="48">
        <v>226335.38</v>
      </c>
      <c r="E17" s="48">
        <v>56312.89</v>
      </c>
      <c r="F17" s="49">
        <f t="shared" si="1"/>
        <v>24.880286060447109</v>
      </c>
      <c r="G17" s="49">
        <v>6.4059999999999997</v>
      </c>
      <c r="H17" s="78">
        <v>380678</v>
      </c>
      <c r="I17" s="78">
        <v>139858</v>
      </c>
      <c r="J17" s="78">
        <v>605889</v>
      </c>
      <c r="K17" s="49">
        <f t="shared" si="2"/>
        <v>23.083105981458647</v>
      </c>
    </row>
    <row r="18" spans="1:11">
      <c r="A18" s="74" t="s">
        <v>14</v>
      </c>
      <c r="B18" s="52">
        <v>1601711.33318192</v>
      </c>
      <c r="C18" s="52">
        <v>880092.24</v>
      </c>
      <c r="D18" s="52">
        <v>226982.45</v>
      </c>
      <c r="E18" s="52">
        <v>56312.89</v>
      </c>
      <c r="F18" s="55">
        <f t="shared" si="1"/>
        <v>24.809358609002587</v>
      </c>
      <c r="G18" s="55">
        <v>6.4</v>
      </c>
      <c r="H18" s="80">
        <v>380887</v>
      </c>
      <c r="I18" s="80">
        <v>140200</v>
      </c>
      <c r="J18" s="80">
        <v>607258</v>
      </c>
      <c r="K18" s="55">
        <f t="shared" si="2"/>
        <v>23.087386250983933</v>
      </c>
    </row>
    <row r="19" spans="1:11" ht="12" customHeight="1">
      <c r="A19" s="91" t="s">
        <v>78</v>
      </c>
      <c r="B19" s="90"/>
      <c r="C19" s="10"/>
      <c r="D19" s="10"/>
      <c r="E19" s="10"/>
      <c r="F19" s="24"/>
      <c r="G19" s="24"/>
      <c r="H19" s="9"/>
      <c r="I19" s="9"/>
      <c r="J19" s="25"/>
      <c r="K19" s="24"/>
    </row>
    <row r="20" spans="1:11" ht="11.25" customHeight="1">
      <c r="A20" s="29" t="s">
        <v>62</v>
      </c>
      <c r="B20" s="29"/>
      <c r="C20" s="29"/>
      <c r="D20" s="29"/>
      <c r="E20" s="29"/>
      <c r="F20" s="29"/>
      <c r="G20" s="29"/>
      <c r="H20" s="29"/>
      <c r="I20" s="29"/>
      <c r="J20" s="6"/>
      <c r="K20" s="6"/>
    </row>
    <row r="21" spans="1:11" ht="11.25" customHeight="1">
      <c r="A21" s="29" t="s">
        <v>42</v>
      </c>
      <c r="B21" s="29"/>
      <c r="C21" s="29"/>
      <c r="D21" s="29"/>
      <c r="E21" s="29"/>
      <c r="F21" s="29"/>
      <c r="G21" s="29"/>
      <c r="H21" s="29"/>
      <c r="I21" s="29"/>
      <c r="J21" s="6"/>
      <c r="K21" s="6"/>
    </row>
    <row r="22" spans="1:11" ht="11.25" customHeight="1">
      <c r="A22" s="29" t="s">
        <v>43</v>
      </c>
      <c r="B22" s="29"/>
      <c r="C22" s="29"/>
      <c r="D22" s="29"/>
      <c r="E22" s="29"/>
      <c r="F22" s="29"/>
      <c r="G22" s="29"/>
      <c r="H22" s="29"/>
      <c r="I22" s="29"/>
      <c r="J22" s="6"/>
      <c r="K22" s="6"/>
    </row>
    <row r="23" spans="1:11" ht="11.25" customHeight="1">
      <c r="A23" s="29" t="s">
        <v>28</v>
      </c>
      <c r="B23" s="29"/>
      <c r="C23" s="29"/>
      <c r="D23" s="29"/>
      <c r="E23" s="29"/>
      <c r="F23" s="29"/>
      <c r="G23" s="29"/>
      <c r="H23" s="29"/>
      <c r="I23" s="29"/>
      <c r="J23" s="6"/>
      <c r="K23" s="6"/>
    </row>
    <row r="24" spans="1:11" ht="11.25" customHeight="1">
      <c r="A24" s="29" t="s">
        <v>50</v>
      </c>
      <c r="B24" s="29"/>
      <c r="C24" s="29"/>
      <c r="D24" s="29"/>
      <c r="E24" s="29"/>
      <c r="F24" s="29"/>
      <c r="G24" s="29"/>
      <c r="H24" s="29"/>
      <c r="I24" s="29"/>
      <c r="J24" s="6"/>
      <c r="K24" s="6"/>
    </row>
    <row r="25" spans="1:11" ht="11.25" customHeight="1">
      <c r="A25" s="29" t="s">
        <v>45</v>
      </c>
      <c r="B25" s="29"/>
      <c r="C25" s="29"/>
      <c r="D25" s="29"/>
      <c r="E25" s="29"/>
      <c r="F25" s="29"/>
      <c r="G25" s="29"/>
      <c r="H25" s="29"/>
      <c r="I25" s="29"/>
      <c r="J25" s="6"/>
      <c r="K25" s="6"/>
    </row>
    <row r="26" spans="1:11" ht="11.25" customHeight="1">
      <c r="A26" s="29" t="s">
        <v>46</v>
      </c>
      <c r="B26" s="29"/>
      <c r="C26" s="29"/>
      <c r="D26" s="29"/>
      <c r="E26" s="29"/>
      <c r="F26" s="29"/>
      <c r="G26" s="29"/>
      <c r="H26" s="29"/>
      <c r="I26" s="29"/>
      <c r="J26" s="6"/>
      <c r="K26" s="6"/>
    </row>
    <row r="27" spans="1:11" ht="11.25" customHeight="1">
      <c r="A27" s="29" t="s">
        <v>79</v>
      </c>
      <c r="B27" s="29"/>
      <c r="C27" s="29"/>
      <c r="D27" s="29"/>
      <c r="E27" s="29"/>
      <c r="F27" s="29"/>
      <c r="G27" s="29"/>
      <c r="H27" s="29"/>
      <c r="I27" s="29"/>
      <c r="J27" s="6"/>
      <c r="K27" s="6"/>
    </row>
    <row r="28" spans="1:11" ht="11.25" customHeight="1">
      <c r="A28" s="29" t="s">
        <v>18</v>
      </c>
      <c r="B28" s="29"/>
      <c r="C28" s="29"/>
      <c r="D28" s="29"/>
      <c r="E28" s="29"/>
      <c r="F28" s="29"/>
      <c r="G28" s="29"/>
      <c r="H28" s="29"/>
      <c r="I28" s="29"/>
      <c r="J28" s="6"/>
      <c r="K28" s="6"/>
    </row>
  </sheetData>
  <mergeCells count="3">
    <mergeCell ref="A1:K1"/>
    <mergeCell ref="A2:K2"/>
    <mergeCell ref="A4:A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8"/>
  <sheetViews>
    <sheetView workbookViewId="0">
      <selection activeCell="A2" sqref="A2:K2"/>
    </sheetView>
  </sheetViews>
  <sheetFormatPr baseColWidth="10" defaultColWidth="11.42578125" defaultRowHeight="12"/>
  <cols>
    <col min="1" max="1" width="14.85546875" style="12" customWidth="1"/>
    <col min="2" max="3" width="13.42578125" style="12" customWidth="1"/>
    <col min="4" max="4" width="17.5703125" style="12" customWidth="1"/>
    <col min="5" max="9" width="13.42578125" style="12" customWidth="1"/>
    <col min="10" max="10" width="15.85546875" style="12" customWidth="1"/>
    <col min="11" max="11" width="13.42578125" style="12" customWidth="1"/>
    <col min="12" max="16384" width="11.42578125" style="12"/>
  </cols>
  <sheetData>
    <row r="1" spans="1:1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19" t="s">
        <v>94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>
      <c r="A3" s="2"/>
      <c r="B3" s="3"/>
      <c r="C3" s="3"/>
      <c r="D3" s="4"/>
      <c r="E3" s="4"/>
      <c r="F3" s="5"/>
      <c r="G3" s="5"/>
      <c r="H3" s="6"/>
      <c r="I3" s="6"/>
      <c r="J3" s="6"/>
      <c r="K3" s="6"/>
    </row>
    <row r="4" spans="1:11" ht="62.25">
      <c r="A4" s="120" t="s">
        <v>0</v>
      </c>
      <c r="B4" s="13" t="s">
        <v>31</v>
      </c>
      <c r="C4" s="13" t="s">
        <v>32</v>
      </c>
      <c r="D4" s="13" t="s">
        <v>33</v>
      </c>
      <c r="E4" s="13" t="s">
        <v>1</v>
      </c>
      <c r="F4" s="13" t="s">
        <v>34</v>
      </c>
      <c r="G4" s="13" t="s">
        <v>47</v>
      </c>
      <c r="H4" s="13" t="s">
        <v>48</v>
      </c>
      <c r="I4" s="13" t="s">
        <v>24</v>
      </c>
      <c r="J4" s="15" t="s">
        <v>20</v>
      </c>
      <c r="K4" s="15" t="s">
        <v>21</v>
      </c>
    </row>
    <row r="5" spans="1:11" ht="14.25">
      <c r="A5" s="121"/>
      <c r="B5" s="15" t="s">
        <v>37</v>
      </c>
      <c r="C5" s="15" t="s">
        <v>37</v>
      </c>
      <c r="D5" s="15" t="s">
        <v>37</v>
      </c>
      <c r="E5" s="15" t="s">
        <v>37</v>
      </c>
      <c r="F5" s="15" t="s">
        <v>2</v>
      </c>
      <c r="G5" s="15" t="s">
        <v>2</v>
      </c>
      <c r="H5" s="15"/>
      <c r="I5" s="15"/>
      <c r="J5" s="27"/>
      <c r="K5" s="15" t="s">
        <v>2</v>
      </c>
    </row>
    <row r="6" spans="1:11" ht="17.25" customHeight="1">
      <c r="A6" s="59" t="s">
        <v>67</v>
      </c>
      <c r="B6" s="46">
        <f>AVERAGE(B7:B18)</f>
        <v>1419065.9146541499</v>
      </c>
      <c r="C6" s="46">
        <f t="shared" ref="C6:K6" si="0">AVERAGE(C7:C18)</f>
        <v>887065.18666666641</v>
      </c>
      <c r="D6" s="46">
        <f>AVERAGE(D7:D18)</f>
        <v>231283.99916666668</v>
      </c>
      <c r="E6" s="46">
        <f t="shared" si="0"/>
        <v>56312.890000000007</v>
      </c>
      <c r="F6" s="46">
        <f t="shared" si="0"/>
        <v>24.388500000000004</v>
      </c>
      <c r="G6" s="46">
        <f t="shared" si="0"/>
        <v>6.3482500000000002</v>
      </c>
      <c r="H6" s="81">
        <f t="shared" si="0"/>
        <v>406146.58333333331</v>
      </c>
      <c r="I6" s="81">
        <f t="shared" si="0"/>
        <v>142551.16666666666</v>
      </c>
      <c r="J6" s="81">
        <f t="shared" si="0"/>
        <v>633729.25</v>
      </c>
      <c r="K6" s="46">
        <f t="shared" si="0"/>
        <v>22.608750000000001</v>
      </c>
    </row>
    <row r="7" spans="1:11">
      <c r="A7" s="73" t="s">
        <v>3</v>
      </c>
      <c r="B7" s="45">
        <v>1556552.3506699977</v>
      </c>
      <c r="C7" s="48">
        <v>881044.92</v>
      </c>
      <c r="D7" s="48">
        <v>227559.82</v>
      </c>
      <c r="E7" s="48">
        <v>56312.89</v>
      </c>
      <c r="F7" s="49">
        <v>24.74</v>
      </c>
      <c r="G7" s="49">
        <v>6.39</v>
      </c>
      <c r="H7" s="78">
        <v>381420</v>
      </c>
      <c r="I7" s="78">
        <v>140465</v>
      </c>
      <c r="J7" s="78">
        <v>616249</v>
      </c>
      <c r="K7" s="49">
        <v>22.79</v>
      </c>
    </row>
    <row r="8" spans="1:11">
      <c r="A8" s="73" t="s">
        <v>4</v>
      </c>
      <c r="B8" s="45">
        <v>1460114.3159966688</v>
      </c>
      <c r="C8" s="48">
        <v>881997.6</v>
      </c>
      <c r="D8" s="48">
        <v>228240.94</v>
      </c>
      <c r="E8" s="48">
        <v>56312.89</v>
      </c>
      <c r="F8" s="49">
        <v>24.6</v>
      </c>
      <c r="G8" s="49">
        <v>6.38</v>
      </c>
      <c r="H8" s="78">
        <v>381938</v>
      </c>
      <c r="I8" s="78">
        <v>140646</v>
      </c>
      <c r="J8" s="78">
        <v>618230</v>
      </c>
      <c r="K8" s="49">
        <v>22.75</v>
      </c>
    </row>
    <row r="9" spans="1:11">
      <c r="A9" s="73" t="s">
        <v>5</v>
      </c>
      <c r="B9" s="45">
        <v>1435532.5914149445</v>
      </c>
      <c r="C9" s="48">
        <v>882950.28</v>
      </c>
      <c r="D9" s="48">
        <v>228933.94</v>
      </c>
      <c r="E9" s="48">
        <v>56312.89</v>
      </c>
      <c r="F9" s="49">
        <v>24.67</v>
      </c>
      <c r="G9" s="49">
        <v>6.3840000000000003</v>
      </c>
      <c r="H9" s="78">
        <v>382572</v>
      </c>
      <c r="I9" s="78">
        <v>141116</v>
      </c>
      <c r="J9" s="78">
        <v>621203</v>
      </c>
      <c r="K9" s="49">
        <v>22.72</v>
      </c>
    </row>
    <row r="10" spans="1:11">
      <c r="A10" s="73" t="s">
        <v>6</v>
      </c>
      <c r="B10" s="45">
        <v>1484109.319403437</v>
      </c>
      <c r="C10" s="48">
        <v>883902.96</v>
      </c>
      <c r="D10" s="50">
        <v>229412.3</v>
      </c>
      <c r="E10" s="48">
        <v>56312.89</v>
      </c>
      <c r="F10" s="49">
        <v>24.597999999999999</v>
      </c>
      <c r="G10" s="49">
        <v>6.37</v>
      </c>
      <c r="H10" s="78">
        <v>383063</v>
      </c>
      <c r="I10" s="78">
        <v>140994</v>
      </c>
      <c r="J10" s="78">
        <v>622230</v>
      </c>
      <c r="K10" s="49">
        <v>22.725000000000001</v>
      </c>
    </row>
    <row r="11" spans="1:11">
      <c r="A11" s="73" t="s">
        <v>7</v>
      </c>
      <c r="B11" s="48">
        <v>1459323.1887349533</v>
      </c>
      <c r="C11" s="48">
        <v>885544.34</v>
      </c>
      <c r="D11" s="50">
        <v>230116.39</v>
      </c>
      <c r="E11" s="48">
        <v>56312.89</v>
      </c>
      <c r="F11" s="49">
        <v>24.471</v>
      </c>
      <c r="G11" s="49">
        <v>6.36</v>
      </c>
      <c r="H11" s="78">
        <v>384367</v>
      </c>
      <c r="I11" s="78">
        <v>142081</v>
      </c>
      <c r="J11" s="78">
        <v>622995</v>
      </c>
      <c r="K11" s="49">
        <v>22.81</v>
      </c>
    </row>
    <row r="12" spans="1:11">
      <c r="A12" s="73" t="s">
        <v>8</v>
      </c>
      <c r="B12" s="48">
        <v>1439605.571958513</v>
      </c>
      <c r="C12" s="48">
        <v>886634.76</v>
      </c>
      <c r="D12" s="50">
        <v>231156.29</v>
      </c>
      <c r="E12" s="48">
        <v>56312.89</v>
      </c>
      <c r="F12" s="49">
        <v>24.36</v>
      </c>
      <c r="G12" s="49">
        <v>6.35</v>
      </c>
      <c r="H12" s="79">
        <v>385032</v>
      </c>
      <c r="I12" s="79">
        <v>142475</v>
      </c>
      <c r="J12" s="78">
        <v>626006</v>
      </c>
      <c r="K12" s="49">
        <v>22.76</v>
      </c>
    </row>
    <row r="13" spans="1:11">
      <c r="A13" s="73" t="s">
        <v>9</v>
      </c>
      <c r="B13" s="48">
        <v>1419467.7871148461</v>
      </c>
      <c r="C13" s="48">
        <v>887725.18</v>
      </c>
      <c r="D13" s="50">
        <v>231915.02</v>
      </c>
      <c r="E13" s="48">
        <v>56312.89</v>
      </c>
      <c r="F13" s="49">
        <v>24.8</v>
      </c>
      <c r="G13" s="49">
        <v>6.34</v>
      </c>
      <c r="H13" s="78">
        <v>386008</v>
      </c>
      <c r="I13" s="78">
        <v>143317</v>
      </c>
      <c r="J13" s="78">
        <v>635483</v>
      </c>
      <c r="K13" s="49">
        <v>22.55</v>
      </c>
    </row>
    <row r="14" spans="1:11">
      <c r="A14" s="73" t="s">
        <v>10</v>
      </c>
      <c r="B14" s="48">
        <v>1352047.8461654931</v>
      </c>
      <c r="C14" s="48">
        <v>888815.6</v>
      </c>
      <c r="D14" s="50">
        <v>232459.13</v>
      </c>
      <c r="E14" s="48">
        <v>56312.89</v>
      </c>
      <c r="F14" s="49">
        <v>24.22</v>
      </c>
      <c r="G14" s="49">
        <v>6.34</v>
      </c>
      <c r="H14" s="79">
        <v>512757</v>
      </c>
      <c r="I14" s="79">
        <v>143007</v>
      </c>
      <c r="J14" s="78">
        <v>639775</v>
      </c>
      <c r="K14" s="49">
        <v>22.42</v>
      </c>
    </row>
    <row r="15" spans="1:11">
      <c r="A15" s="73" t="s">
        <v>11</v>
      </c>
      <c r="B15" s="48">
        <v>1317707.6235899765</v>
      </c>
      <c r="C15" s="48">
        <v>889906.02</v>
      </c>
      <c r="D15" s="50">
        <v>232569.22</v>
      </c>
      <c r="E15" s="48">
        <v>56312.89</v>
      </c>
      <c r="F15" s="49">
        <v>24.213000000000001</v>
      </c>
      <c r="G15" s="49">
        <v>6.3280000000000003</v>
      </c>
      <c r="H15" s="79">
        <v>513322</v>
      </c>
      <c r="I15" s="78">
        <v>143622</v>
      </c>
      <c r="J15" s="78">
        <v>642961</v>
      </c>
      <c r="K15" s="49">
        <v>22.34</v>
      </c>
    </row>
    <row r="16" spans="1:11">
      <c r="A16" s="73" t="s">
        <v>12</v>
      </c>
      <c r="B16" s="48">
        <v>1346456.9611628433</v>
      </c>
      <c r="C16" s="48">
        <v>890996.44</v>
      </c>
      <c r="D16" s="50">
        <v>233476.06</v>
      </c>
      <c r="E16" s="56">
        <v>56312.89</v>
      </c>
      <c r="F16" s="49">
        <v>24.12</v>
      </c>
      <c r="G16" s="49">
        <v>6.32</v>
      </c>
      <c r="H16" s="78">
        <v>387525</v>
      </c>
      <c r="I16" s="79">
        <v>144736</v>
      </c>
      <c r="J16" s="78">
        <v>646415</v>
      </c>
      <c r="K16" s="49">
        <v>22.39</v>
      </c>
    </row>
    <row r="17" spans="1:11">
      <c r="A17" s="73" t="s">
        <v>13</v>
      </c>
      <c r="B17" s="48">
        <v>1355590.8850026499</v>
      </c>
      <c r="C17" s="48">
        <v>892086.86</v>
      </c>
      <c r="D17" s="48">
        <v>234451.01</v>
      </c>
      <c r="E17" s="48">
        <v>56312.89</v>
      </c>
      <c r="F17" s="49">
        <v>24.018999999999998</v>
      </c>
      <c r="G17" s="49">
        <v>6.3120000000000003</v>
      </c>
      <c r="H17" s="78">
        <v>387739</v>
      </c>
      <c r="I17" s="78">
        <v>145292</v>
      </c>
      <c r="J17" s="78">
        <v>652893</v>
      </c>
      <c r="K17" s="49">
        <v>22.25</v>
      </c>
    </row>
    <row r="18" spans="1:11">
      <c r="A18" s="74" t="s">
        <v>14</v>
      </c>
      <c r="B18" s="52">
        <v>1402282.5346354758</v>
      </c>
      <c r="C18" s="52">
        <v>893177.28</v>
      </c>
      <c r="D18" s="52">
        <v>235117.87</v>
      </c>
      <c r="E18" s="52">
        <v>56312.89</v>
      </c>
      <c r="F18" s="55">
        <v>23.850999999999999</v>
      </c>
      <c r="G18" s="55">
        <v>6.3049999999999997</v>
      </c>
      <c r="H18" s="80">
        <v>388016</v>
      </c>
      <c r="I18" s="80">
        <v>142863</v>
      </c>
      <c r="J18" s="80">
        <v>660311</v>
      </c>
      <c r="K18" s="55">
        <v>22.8</v>
      </c>
    </row>
    <row r="19" spans="1:11" ht="11.25" customHeight="1">
      <c r="A19" s="19" t="s">
        <v>81</v>
      </c>
      <c r="B19" s="95"/>
      <c r="C19" s="10"/>
      <c r="D19" s="10"/>
      <c r="E19" s="10"/>
      <c r="F19" s="24"/>
      <c r="G19" s="24"/>
      <c r="H19" s="9"/>
      <c r="I19" s="9"/>
      <c r="J19" s="25"/>
      <c r="K19" s="24"/>
    </row>
    <row r="20" spans="1:11" ht="11.25" customHeight="1">
      <c r="A20" s="29" t="s">
        <v>60</v>
      </c>
      <c r="B20" s="29"/>
      <c r="C20" s="29"/>
      <c r="D20" s="29"/>
      <c r="E20" s="29"/>
      <c r="F20" s="29"/>
      <c r="G20" s="29"/>
      <c r="H20" s="29"/>
      <c r="I20" s="29"/>
      <c r="J20" s="23"/>
      <c r="K20" s="23"/>
    </row>
    <row r="21" spans="1:11" ht="11.25" customHeight="1">
      <c r="A21" s="29" t="s">
        <v>42</v>
      </c>
      <c r="B21" s="29"/>
      <c r="C21" s="29"/>
      <c r="D21" s="29"/>
      <c r="E21" s="29"/>
      <c r="F21" s="29"/>
      <c r="G21" s="29"/>
      <c r="H21" s="29"/>
      <c r="I21" s="29"/>
      <c r="J21" s="23"/>
      <c r="K21" s="23"/>
    </row>
    <row r="22" spans="1:11" ht="11.25" customHeight="1">
      <c r="A22" s="29" t="s">
        <v>43</v>
      </c>
      <c r="B22" s="29"/>
      <c r="C22" s="29"/>
      <c r="D22" s="29"/>
      <c r="E22" s="29"/>
      <c r="F22" s="29"/>
      <c r="G22" s="29"/>
      <c r="H22" s="29"/>
      <c r="I22" s="29"/>
      <c r="J22" s="23"/>
      <c r="K22" s="23"/>
    </row>
    <row r="23" spans="1:11" ht="11.25" customHeight="1">
      <c r="A23" s="29" t="s">
        <v>28</v>
      </c>
      <c r="B23" s="29"/>
      <c r="C23" s="29"/>
      <c r="D23" s="29"/>
      <c r="E23" s="29"/>
      <c r="F23" s="29"/>
      <c r="G23" s="29"/>
      <c r="H23" s="29"/>
      <c r="I23" s="29"/>
      <c r="J23" s="23"/>
      <c r="K23" s="23"/>
    </row>
    <row r="24" spans="1:11" ht="11.25" customHeight="1">
      <c r="A24" s="29" t="s">
        <v>50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ht="11.25" customHeight="1">
      <c r="A25" s="29" t="s">
        <v>51</v>
      </c>
      <c r="B25" s="29"/>
      <c r="C25" s="29"/>
      <c r="D25" s="29"/>
      <c r="E25" s="29"/>
      <c r="F25" s="29"/>
      <c r="G25" s="29"/>
      <c r="H25" s="29"/>
      <c r="I25" s="29"/>
      <c r="J25" s="23"/>
      <c r="K25" s="23"/>
    </row>
    <row r="26" spans="1:11" ht="11.25" customHeight="1">
      <c r="A26" s="29" t="s">
        <v>52</v>
      </c>
      <c r="B26" s="29"/>
      <c r="C26" s="29"/>
      <c r="D26" s="29"/>
      <c r="E26" s="29"/>
      <c r="F26" s="29"/>
      <c r="G26" s="29"/>
      <c r="H26" s="29"/>
      <c r="I26" s="29"/>
      <c r="J26" s="23"/>
      <c r="K26" s="23"/>
    </row>
    <row r="27" spans="1:11" ht="11.25" customHeight="1">
      <c r="A27" s="29" t="s">
        <v>79</v>
      </c>
      <c r="B27" s="29"/>
      <c r="C27" s="29"/>
      <c r="D27" s="29"/>
      <c r="E27" s="29"/>
      <c r="F27" s="29"/>
      <c r="G27" s="29"/>
      <c r="H27" s="29"/>
      <c r="I27" s="29"/>
      <c r="J27" s="23"/>
      <c r="K27" s="23"/>
    </row>
    <row r="28" spans="1:11" ht="11.25" customHeight="1">
      <c r="A28" s="29" t="s">
        <v>18</v>
      </c>
      <c r="B28" s="29"/>
      <c r="C28" s="29"/>
      <c r="D28" s="29"/>
      <c r="E28" s="29"/>
      <c r="F28" s="29"/>
      <c r="G28" s="29"/>
      <c r="H28" s="29"/>
      <c r="I28" s="29"/>
      <c r="J28" s="23"/>
      <c r="K28" s="23"/>
    </row>
  </sheetData>
  <mergeCells count="3">
    <mergeCell ref="A1:K1"/>
    <mergeCell ref="A2:K2"/>
    <mergeCell ref="A4:A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8"/>
  <sheetViews>
    <sheetView workbookViewId="0">
      <selection activeCell="A2" sqref="A2:K2"/>
    </sheetView>
  </sheetViews>
  <sheetFormatPr baseColWidth="10" defaultColWidth="11.42578125" defaultRowHeight="12"/>
  <cols>
    <col min="1" max="1" width="13.85546875" style="12" customWidth="1"/>
    <col min="2" max="11" width="16.28515625" style="12" customWidth="1"/>
    <col min="12" max="12" width="11.42578125" style="12"/>
    <col min="13" max="13" width="25.28515625" style="12" customWidth="1"/>
    <col min="14" max="14" width="27.140625" style="12" customWidth="1"/>
    <col min="15" max="15" width="16.42578125" style="12" customWidth="1"/>
    <col min="16" max="16384" width="11.42578125" style="12"/>
  </cols>
  <sheetData>
    <row r="1" spans="1:16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6" ht="18">
      <c r="A2" s="119" t="s">
        <v>95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M2" s="129"/>
      <c r="N2" s="129"/>
      <c r="O2" s="129"/>
      <c r="P2" s="129"/>
    </row>
    <row r="3" spans="1:16" ht="24" customHeight="1">
      <c r="A3" s="2"/>
      <c r="B3" s="3"/>
      <c r="C3" s="3"/>
      <c r="D3" s="4"/>
      <c r="E3" s="4"/>
      <c r="F3" s="5"/>
      <c r="G3" s="5"/>
      <c r="H3" s="6"/>
      <c r="I3" s="6"/>
      <c r="J3" s="6"/>
      <c r="K3" s="6"/>
      <c r="M3" s="109"/>
      <c r="N3" s="109"/>
      <c r="O3" s="110"/>
      <c r="P3" s="111"/>
    </row>
    <row r="4" spans="1:16" ht="60" customHeight="1">
      <c r="A4" s="120" t="s">
        <v>0</v>
      </c>
      <c r="B4" s="13" t="s">
        <v>31</v>
      </c>
      <c r="C4" s="13" t="s">
        <v>32</v>
      </c>
      <c r="D4" s="13" t="s">
        <v>33</v>
      </c>
      <c r="E4" s="13" t="s">
        <v>1</v>
      </c>
      <c r="F4" s="13" t="s">
        <v>34</v>
      </c>
      <c r="G4" s="13" t="s">
        <v>47</v>
      </c>
      <c r="H4" s="13" t="s">
        <v>48</v>
      </c>
      <c r="I4" s="13" t="s">
        <v>24</v>
      </c>
      <c r="J4" s="15" t="s">
        <v>20</v>
      </c>
      <c r="K4" s="15" t="s">
        <v>21</v>
      </c>
      <c r="M4" s="109"/>
      <c r="N4" s="112"/>
      <c r="O4" s="113"/>
      <c r="P4" s="111"/>
    </row>
    <row r="5" spans="1:16" ht="12.75" customHeight="1">
      <c r="A5" s="121"/>
      <c r="B5" s="15" t="s">
        <v>37</v>
      </c>
      <c r="C5" s="15" t="s">
        <v>37</v>
      </c>
      <c r="D5" s="15" t="s">
        <v>37</v>
      </c>
      <c r="E5" s="15" t="s">
        <v>37</v>
      </c>
      <c r="F5" s="15" t="s">
        <v>2</v>
      </c>
      <c r="G5" s="15" t="s">
        <v>2</v>
      </c>
      <c r="H5" s="15"/>
      <c r="I5" s="15"/>
      <c r="J5" s="27"/>
      <c r="K5" s="15" t="s">
        <v>2</v>
      </c>
      <c r="M5" s="109"/>
      <c r="N5" s="112"/>
      <c r="O5" s="113"/>
      <c r="P5" s="111"/>
    </row>
    <row r="6" spans="1:16" ht="12.75" customHeight="1">
      <c r="A6" s="28" t="s">
        <v>67</v>
      </c>
      <c r="B6" s="46">
        <f>AVERAGE(B7:B18)</f>
        <v>1430254.6243722716</v>
      </c>
      <c r="C6" s="46">
        <f t="shared" ref="C6:K6" si="0">AVERAGE(C7:C18)</f>
        <v>900171.93</v>
      </c>
      <c r="D6" s="46">
        <f>AVERAGE(D7:D18)</f>
        <v>238911.02500000002</v>
      </c>
      <c r="E6" s="46">
        <f t="shared" si="0"/>
        <v>68026.774166666655</v>
      </c>
      <c r="F6" s="46">
        <f t="shared" si="0"/>
        <v>28.47725486415958</v>
      </c>
      <c r="G6" s="46">
        <f t="shared" si="0"/>
        <v>7.555957583589489</v>
      </c>
      <c r="H6" s="81">
        <f t="shared" si="0"/>
        <v>391463.66666666669</v>
      </c>
      <c r="I6" s="81">
        <f t="shared" si="0"/>
        <v>148711.25</v>
      </c>
      <c r="J6" s="81">
        <f t="shared" si="0"/>
        <v>676180.33333333337</v>
      </c>
      <c r="K6" s="46">
        <f t="shared" si="0"/>
        <v>22.011750000000003</v>
      </c>
      <c r="M6" s="109"/>
      <c r="N6" s="112"/>
      <c r="O6" s="113"/>
      <c r="P6" s="111"/>
    </row>
    <row r="7" spans="1:16" ht="12.75" customHeight="1">
      <c r="A7" s="73" t="s">
        <v>3</v>
      </c>
      <c r="B7" s="45">
        <v>1382315.0881974411</v>
      </c>
      <c r="C7" s="48">
        <v>894253.38</v>
      </c>
      <c r="D7" s="48">
        <v>235117.87</v>
      </c>
      <c r="E7" s="48">
        <v>56312.89</v>
      </c>
      <c r="F7" s="49">
        <f>E7/D7*100</f>
        <v>23.950918745563662</v>
      </c>
      <c r="G7" s="49">
        <f>E7/C7*100</f>
        <v>6.2971962152382366</v>
      </c>
      <c r="H7" s="78">
        <v>389295</v>
      </c>
      <c r="I7" s="78">
        <v>146787</v>
      </c>
      <c r="J7" s="78">
        <v>663633</v>
      </c>
      <c r="K7" s="49">
        <v>22.18</v>
      </c>
      <c r="M7" s="109"/>
      <c r="N7" s="112"/>
      <c r="O7" s="113"/>
      <c r="P7" s="111"/>
    </row>
    <row r="8" spans="1:16" ht="12.75" customHeight="1">
      <c r="A8" s="73" t="s">
        <v>4</v>
      </c>
      <c r="B8" s="45">
        <v>1369551.0636687106</v>
      </c>
      <c r="C8" s="48">
        <v>895329.48</v>
      </c>
      <c r="D8" s="48">
        <v>237047.18</v>
      </c>
      <c r="E8" s="48">
        <v>56312.89</v>
      </c>
      <c r="F8" s="49">
        <f t="shared" ref="F8:F18" si="1">E8/D8*100</f>
        <v>23.755983935349917</v>
      </c>
      <c r="G8" s="49">
        <f t="shared" ref="G8:G18" si="2">E8/C8*100</f>
        <v>6.2896275905044474</v>
      </c>
      <c r="H8" s="78">
        <v>389345</v>
      </c>
      <c r="I8" s="78">
        <v>147313</v>
      </c>
      <c r="J8" s="78">
        <v>665200</v>
      </c>
      <c r="K8" s="49">
        <v>22.15</v>
      </c>
      <c r="M8" s="109"/>
      <c r="N8" s="112"/>
      <c r="O8" s="114"/>
      <c r="P8" s="111"/>
    </row>
    <row r="9" spans="1:16" ht="12.75" customHeight="1">
      <c r="A9" s="73" t="s">
        <v>5</v>
      </c>
      <c r="B9" s="45">
        <v>1402899.5381936561</v>
      </c>
      <c r="C9" s="48">
        <v>896405.58</v>
      </c>
      <c r="D9" s="48">
        <v>237380.62</v>
      </c>
      <c r="E9" s="48">
        <v>56312.89</v>
      </c>
      <c r="F9" s="49">
        <f t="shared" si="1"/>
        <v>23.722614761053368</v>
      </c>
      <c r="G9" s="49">
        <f t="shared" si="2"/>
        <v>6.2820771374493223</v>
      </c>
      <c r="H9" s="78">
        <v>389553</v>
      </c>
      <c r="I9" s="78">
        <v>147385</v>
      </c>
      <c r="J9" s="78">
        <v>668928</v>
      </c>
      <c r="K9" s="49">
        <v>22.033000000000001</v>
      </c>
      <c r="M9" s="109"/>
      <c r="N9" s="112"/>
      <c r="O9" s="114"/>
      <c r="P9" s="111"/>
    </row>
    <row r="10" spans="1:16" ht="12.75" customHeight="1">
      <c r="A10" s="73" t="s">
        <v>6</v>
      </c>
      <c r="B10" s="45">
        <v>1380346.7332879095</v>
      </c>
      <c r="C10" s="48">
        <v>897481.68</v>
      </c>
      <c r="D10" s="50">
        <v>237458.23</v>
      </c>
      <c r="E10" s="48">
        <v>56312.89</v>
      </c>
      <c r="F10" s="49">
        <f t="shared" si="1"/>
        <v>23.714861346351313</v>
      </c>
      <c r="G10" s="49">
        <f t="shared" si="2"/>
        <v>6.2745447907081502</v>
      </c>
      <c r="H10" s="78">
        <v>389612</v>
      </c>
      <c r="I10" s="78">
        <v>147412</v>
      </c>
      <c r="J10" s="78">
        <v>671934</v>
      </c>
      <c r="K10" s="49">
        <v>21.937999999999999</v>
      </c>
      <c r="M10" s="109"/>
      <c r="N10" s="112"/>
      <c r="O10" s="114"/>
      <c r="P10" s="111"/>
    </row>
    <row r="11" spans="1:16" ht="12.75" customHeight="1">
      <c r="A11" s="73" t="s">
        <v>7</v>
      </c>
      <c r="B11" s="48">
        <v>1325732.4551442198</v>
      </c>
      <c r="C11" s="48">
        <v>898557.78</v>
      </c>
      <c r="D11" s="50">
        <v>237458.23</v>
      </c>
      <c r="E11" s="48">
        <v>56312.89</v>
      </c>
      <c r="F11" s="49">
        <f t="shared" si="1"/>
        <v>23.714861346351313</v>
      </c>
      <c r="G11" s="49">
        <f t="shared" si="2"/>
        <v>6.2670304852293413</v>
      </c>
      <c r="H11" s="78">
        <v>389749</v>
      </c>
      <c r="I11" s="78">
        <v>147428</v>
      </c>
      <c r="J11" s="78">
        <v>673681</v>
      </c>
      <c r="K11" s="49">
        <v>21.88</v>
      </c>
      <c r="M11" s="109"/>
      <c r="N11" s="112"/>
      <c r="O11" s="115"/>
      <c r="P11" s="111"/>
    </row>
    <row r="12" spans="1:16" ht="12.75" customHeight="1">
      <c r="A12" s="73" t="s">
        <v>8</v>
      </c>
      <c r="B12" s="48">
        <v>1304947.3843591493</v>
      </c>
      <c r="C12" s="48">
        <v>899633.88</v>
      </c>
      <c r="D12" s="50">
        <v>237454.27</v>
      </c>
      <c r="E12" s="48">
        <v>56312.89</v>
      </c>
      <c r="F12" s="49">
        <f t="shared" si="1"/>
        <v>23.715256836611111</v>
      </c>
      <c r="G12" s="49">
        <f t="shared" si="2"/>
        <v>6.2595341562725491</v>
      </c>
      <c r="H12" s="79">
        <v>389827</v>
      </c>
      <c r="I12" s="79">
        <v>147441</v>
      </c>
      <c r="J12" s="78">
        <v>676468</v>
      </c>
      <c r="K12" s="49">
        <v>21.79</v>
      </c>
      <c r="M12" s="109"/>
      <c r="N12" s="112"/>
      <c r="O12" s="114"/>
      <c r="P12" s="111"/>
    </row>
    <row r="13" spans="1:16" ht="12.75" customHeight="1">
      <c r="A13" s="73" t="s">
        <v>9</v>
      </c>
      <c r="B13" s="48">
        <v>1354364.4484820955</v>
      </c>
      <c r="C13" s="48">
        <v>900709.98</v>
      </c>
      <c r="D13" s="50">
        <v>238573.37</v>
      </c>
      <c r="E13" s="45">
        <v>182994.8</v>
      </c>
      <c r="F13" s="49">
        <f t="shared" si="1"/>
        <v>76.703782991370744</v>
      </c>
      <c r="G13" s="49">
        <f t="shared" si="2"/>
        <v>20.316728365772079</v>
      </c>
      <c r="H13" s="78">
        <v>390857</v>
      </c>
      <c r="I13" s="78">
        <v>148409</v>
      </c>
      <c r="J13" s="78">
        <v>678568</v>
      </c>
      <c r="K13" s="49">
        <v>21.87</v>
      </c>
      <c r="M13" s="109"/>
      <c r="N13" s="112"/>
      <c r="O13" s="114"/>
      <c r="P13" s="111"/>
    </row>
    <row r="14" spans="1:16" ht="12.75" customHeight="1">
      <c r="A14" s="73" t="s">
        <v>10</v>
      </c>
      <c r="B14" s="48">
        <v>1502615.6408509351</v>
      </c>
      <c r="C14" s="48">
        <v>901786.08</v>
      </c>
      <c r="D14" s="50">
        <v>239760.58</v>
      </c>
      <c r="E14" s="45">
        <v>59089.83</v>
      </c>
      <c r="F14" s="49">
        <f t="shared" si="1"/>
        <v>24.645348288697004</v>
      </c>
      <c r="G14" s="49">
        <f t="shared" si="2"/>
        <v>6.552532946616342</v>
      </c>
      <c r="H14" s="79">
        <v>392503</v>
      </c>
      <c r="I14" s="79">
        <v>149714</v>
      </c>
      <c r="J14" s="78">
        <v>679558</v>
      </c>
      <c r="K14" s="49">
        <v>22.03</v>
      </c>
      <c r="M14" s="109"/>
      <c r="N14" s="112"/>
      <c r="O14" s="114"/>
      <c r="P14" s="111"/>
    </row>
    <row r="15" spans="1:16" ht="12.75" customHeight="1">
      <c r="A15" s="73" t="s">
        <v>11</v>
      </c>
      <c r="B15" s="48">
        <v>1555443.258384435</v>
      </c>
      <c r="C15" s="48">
        <v>902862.18</v>
      </c>
      <c r="D15" s="50">
        <v>240565.25</v>
      </c>
      <c r="E15" s="45">
        <v>59089.83</v>
      </c>
      <c r="F15" s="49">
        <f t="shared" si="1"/>
        <v>24.562911725612906</v>
      </c>
      <c r="G15" s="49">
        <f t="shared" si="2"/>
        <v>6.5447231381427455</v>
      </c>
      <c r="H15" s="78">
        <v>393306</v>
      </c>
      <c r="I15" s="78">
        <v>150436</v>
      </c>
      <c r="J15" s="78">
        <v>683275</v>
      </c>
      <c r="K15" s="49">
        <v>22.02</v>
      </c>
      <c r="M15" s="109"/>
      <c r="N15" s="112"/>
      <c r="O15" s="114"/>
      <c r="P15" s="111"/>
    </row>
    <row r="16" spans="1:16" ht="12.75" customHeight="1">
      <c r="A16" s="73" t="s">
        <v>12</v>
      </c>
      <c r="B16" s="48">
        <v>1535861.9123325006</v>
      </c>
      <c r="C16" s="48">
        <v>903938.28</v>
      </c>
      <c r="D16" s="50">
        <v>241332.7</v>
      </c>
      <c r="E16" s="48">
        <v>59089.83</v>
      </c>
      <c r="F16" s="49">
        <f t="shared" si="1"/>
        <v>24.484800443537075</v>
      </c>
      <c r="G16" s="49">
        <f t="shared" si="2"/>
        <v>6.5369319241574768</v>
      </c>
      <c r="H16" s="78">
        <v>393879</v>
      </c>
      <c r="I16" s="79">
        <v>150900</v>
      </c>
      <c r="J16" s="78">
        <v>683594</v>
      </c>
      <c r="K16" s="49">
        <v>22.07</v>
      </c>
      <c r="M16" s="109"/>
      <c r="N16" s="112"/>
      <c r="O16" s="114"/>
      <c r="P16" s="111"/>
    </row>
    <row r="17" spans="1:16" ht="12.75" customHeight="1">
      <c r="A17" s="73" t="s">
        <v>13</v>
      </c>
      <c r="B17" s="48">
        <v>1523790.597320009</v>
      </c>
      <c r="C17" s="48">
        <v>905014.38</v>
      </c>
      <c r="D17" s="48">
        <v>242005.9</v>
      </c>
      <c r="E17" s="48">
        <v>59089.83</v>
      </c>
      <c r="F17" s="49">
        <f t="shared" si="1"/>
        <v>24.416689841032802</v>
      </c>
      <c r="G17" s="49">
        <f t="shared" si="2"/>
        <v>6.529159238331661</v>
      </c>
      <c r="H17" s="78">
        <v>394537</v>
      </c>
      <c r="I17" s="78">
        <v>151112</v>
      </c>
      <c r="J17" s="78">
        <v>683957</v>
      </c>
      <c r="K17" s="49">
        <v>22.08</v>
      </c>
      <c r="M17" s="109"/>
      <c r="N17" s="112"/>
      <c r="O17" s="114"/>
      <c r="P17" s="111"/>
    </row>
    <row r="18" spans="1:16" ht="12.75" customHeight="1">
      <c r="A18" s="74" t="s">
        <v>14</v>
      </c>
      <c r="B18" s="52">
        <v>1525187.3722461958</v>
      </c>
      <c r="C18" s="52">
        <v>906090.48</v>
      </c>
      <c r="D18" s="52">
        <v>242778.1</v>
      </c>
      <c r="E18" s="52">
        <v>59089.83</v>
      </c>
      <c r="F18" s="55">
        <f t="shared" si="1"/>
        <v>24.339028108383744</v>
      </c>
      <c r="G18" s="55">
        <f t="shared" si="2"/>
        <v>6.521405014651517</v>
      </c>
      <c r="H18" s="80">
        <v>395101</v>
      </c>
      <c r="I18" s="80">
        <v>150198</v>
      </c>
      <c r="J18" s="80">
        <v>685368</v>
      </c>
      <c r="K18" s="55">
        <v>22.1</v>
      </c>
      <c r="M18" s="109"/>
      <c r="N18" s="112"/>
      <c r="O18" s="114"/>
      <c r="P18" s="111"/>
    </row>
    <row r="19" spans="1:16" s="41" customFormat="1" ht="11.25" customHeight="1">
      <c r="A19" s="23" t="s">
        <v>78</v>
      </c>
      <c r="B19" s="90"/>
      <c r="M19" s="109"/>
      <c r="N19" s="112"/>
      <c r="O19" s="114"/>
      <c r="P19" s="111"/>
    </row>
    <row r="20" spans="1:16" ht="11.25" customHeight="1">
      <c r="A20" s="29" t="s">
        <v>60</v>
      </c>
      <c r="B20" s="29"/>
      <c r="C20" s="29"/>
      <c r="D20" s="29"/>
      <c r="E20" s="29"/>
      <c r="F20" s="29"/>
      <c r="G20" s="29"/>
      <c r="H20" s="29"/>
      <c r="I20" s="29"/>
      <c r="J20" s="6"/>
      <c r="K20" s="6"/>
      <c r="M20" s="109"/>
      <c r="N20" s="112"/>
      <c r="O20" s="113"/>
      <c r="P20" s="111"/>
    </row>
    <row r="21" spans="1:16" ht="11.25" customHeight="1">
      <c r="A21" s="29" t="s">
        <v>42</v>
      </c>
      <c r="B21" s="29"/>
      <c r="C21" s="29"/>
      <c r="D21" s="29"/>
      <c r="E21" s="29"/>
      <c r="F21" s="29"/>
      <c r="G21" s="29"/>
      <c r="H21" s="29"/>
      <c r="I21" s="29"/>
      <c r="J21" s="6"/>
      <c r="K21" s="6"/>
      <c r="M21" s="130"/>
      <c r="N21" s="130"/>
      <c r="O21" s="130"/>
      <c r="P21" s="130"/>
    </row>
    <row r="22" spans="1:16" ht="11.25" customHeight="1">
      <c r="A22" s="29" t="s">
        <v>43</v>
      </c>
      <c r="B22" s="29"/>
      <c r="C22" s="29"/>
      <c r="D22" s="29"/>
      <c r="E22" s="29"/>
      <c r="F22" s="29"/>
      <c r="G22" s="29"/>
      <c r="H22" s="29"/>
      <c r="I22" s="29"/>
      <c r="J22" s="6"/>
      <c r="K22" s="6"/>
    </row>
    <row r="23" spans="1:16" ht="11.25" customHeight="1">
      <c r="A23" s="29" t="s">
        <v>28</v>
      </c>
      <c r="B23" s="29"/>
      <c r="C23" s="29"/>
      <c r="D23" s="29"/>
      <c r="E23" s="29"/>
      <c r="F23" s="29"/>
      <c r="G23" s="29"/>
      <c r="H23" s="29"/>
      <c r="I23" s="29"/>
      <c r="J23" s="6"/>
      <c r="K23" s="6"/>
    </row>
    <row r="24" spans="1:16" ht="11.25" customHeight="1">
      <c r="A24" s="29" t="s">
        <v>50</v>
      </c>
      <c r="B24" s="29"/>
      <c r="C24" s="29"/>
      <c r="D24" s="29"/>
      <c r="E24" s="29"/>
      <c r="F24" s="29"/>
      <c r="G24" s="29"/>
      <c r="H24" s="29"/>
      <c r="I24" s="29"/>
      <c r="J24" s="6"/>
      <c r="K24" s="6"/>
    </row>
    <row r="25" spans="1:16" ht="11.25" customHeight="1">
      <c r="A25" s="29" t="s">
        <v>51</v>
      </c>
      <c r="B25" s="29"/>
      <c r="C25" s="29"/>
      <c r="D25" s="29"/>
      <c r="E25" s="29"/>
      <c r="F25" s="29"/>
      <c r="G25" s="29"/>
      <c r="H25" s="29"/>
      <c r="I25" s="29"/>
      <c r="J25" s="6"/>
      <c r="K25" s="6"/>
    </row>
    <row r="26" spans="1:16" ht="11.25" customHeight="1">
      <c r="A26" s="29" t="s">
        <v>52</v>
      </c>
      <c r="B26" s="29"/>
      <c r="C26" s="29"/>
      <c r="D26" s="29"/>
      <c r="E26" s="29"/>
      <c r="F26" s="29"/>
      <c r="G26" s="29"/>
      <c r="H26" s="29"/>
      <c r="I26" s="29"/>
      <c r="J26" s="6"/>
      <c r="K26" s="6"/>
    </row>
    <row r="27" spans="1:16" ht="11.25" customHeight="1">
      <c r="A27" s="29" t="s">
        <v>79</v>
      </c>
      <c r="B27" s="29"/>
      <c r="C27" s="29"/>
      <c r="D27" s="29"/>
      <c r="E27" s="29"/>
      <c r="F27" s="29"/>
      <c r="G27" s="29"/>
      <c r="H27" s="29"/>
      <c r="I27" s="29"/>
      <c r="J27" s="6"/>
      <c r="K27" s="6"/>
    </row>
    <row r="28" spans="1:16" ht="11.25" customHeight="1">
      <c r="A28" s="29" t="s">
        <v>18</v>
      </c>
      <c r="B28" s="29"/>
      <c r="C28" s="29"/>
      <c r="D28" s="29"/>
      <c r="E28" s="29"/>
      <c r="F28" s="29"/>
      <c r="G28" s="29"/>
      <c r="H28" s="29"/>
      <c r="I28" s="29"/>
      <c r="J28" s="6"/>
      <c r="K28" s="6"/>
    </row>
  </sheetData>
  <mergeCells count="5">
    <mergeCell ref="A1:K1"/>
    <mergeCell ref="A2:K2"/>
    <mergeCell ref="A4:A5"/>
    <mergeCell ref="M2:P2"/>
    <mergeCell ref="M21:P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2020-07-31T17:10:17Z</dcterms:created>
  <dcterms:modified xsi:type="dcterms:W3CDTF">2025-12-04T13:51:27Z</dcterms:modified>
</cp:coreProperties>
</file>